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JESSICA SANTOS (Nunca Apagar)\Desktop\GEO OBRAS MONUMENTO SAGRADO CORAÇÃO\"/>
    </mc:Choice>
  </mc:AlternateContent>
  <xr:revisionPtr revIDLastSave="0" documentId="13_ncr:1_{7035FB90-92DC-4F91-8AFA-E3EBCFF0C618}" xr6:coauthVersionLast="46" xr6:coauthVersionMax="47" xr10:uidLastSave="{00000000-0000-0000-0000-000000000000}"/>
  <bookViews>
    <workbookView xWindow="-120" yWindow="-120" windowWidth="20730" windowHeight="11040" tabRatio="880" xr2:uid="{00000000-000D-0000-FFFF-FFFF00000000}"/>
  </bookViews>
  <sheets>
    <sheet name="BDI-SERVIÇOS" sheetId="21" r:id="rId1"/>
    <sheet name="BDI - EQP" sheetId="36" r:id="rId2"/>
    <sheet name="ENC.SOC." sheetId="22" r:id="rId3"/>
    <sheet name="CFF" sheetId="4" r:id="rId4"/>
    <sheet name="COMPOSIÇÕES" sheetId="16" r:id="rId5"/>
    <sheet name="ORÇAMENTO" sheetId="3" r:id="rId6"/>
    <sheet name="MEMÓRIA DE CÁLCULO" sheetId="35" r:id="rId7"/>
  </sheets>
  <externalReferences>
    <externalReference r:id="rId8"/>
    <externalReference r:id="rId9"/>
  </externalReferences>
  <definedNames>
    <definedName name="_xlnm.Print_Area" localSheetId="1">'BDI - EQP'!$A$1:$I$54</definedName>
    <definedName name="_xlnm.Print_Area" localSheetId="0">'BDI-SERVIÇOS'!$A$1:$I$84</definedName>
    <definedName name="_xlnm.Print_Area" localSheetId="3">CFF!$A$1:$I$48</definedName>
    <definedName name="_xlnm.Print_Area" localSheetId="4">COMPOSIÇÕES!$A$1:$G$124</definedName>
    <definedName name="_xlnm.Print_Area" localSheetId="2">ENC.SOC.!$A$1:$F$46</definedName>
    <definedName name="_xlnm.Print_Area" localSheetId="6">'MEMÓRIA DE CÁLCULO'!$A$1:$J$191</definedName>
    <definedName name="_xlnm.Print_Area" localSheetId="5">ORÇAMENTO!$A$1:$I$63</definedName>
    <definedName name="_xlnm.Print_Titles" localSheetId="0">'BDI-SERVIÇOS'!$1:$8</definedName>
    <definedName name="_xlnm.Print_Titles" localSheetId="5">ORÇAMENTO!$1:$12</definedName>
  </definedNames>
  <calcPr calcId="191029"/>
</workbook>
</file>

<file path=xl/calcChain.xml><?xml version="1.0" encoding="utf-8"?>
<calcChain xmlns="http://schemas.openxmlformats.org/spreadsheetml/2006/main">
  <c r="F175" i="35" l="1"/>
  <c r="C181" i="35"/>
  <c r="I169" i="35"/>
  <c r="I170" i="35"/>
  <c r="I171" i="35"/>
  <c r="A143" i="35"/>
  <c r="B143" i="35"/>
  <c r="A142" i="35"/>
  <c r="E99" i="35"/>
  <c r="I96" i="35"/>
  <c r="C99" i="35" s="1"/>
  <c r="E76" i="35"/>
  <c r="I76" i="35" s="1"/>
  <c r="B73" i="35"/>
  <c r="A73" i="35"/>
  <c r="I99" i="35" l="1"/>
  <c r="C101" i="35" s="1"/>
  <c r="I147" i="35"/>
  <c r="C78" i="35"/>
  <c r="F27" i="3" s="1"/>
  <c r="M122" i="16" l="1"/>
  <c r="G109" i="16"/>
  <c r="E108" i="16"/>
  <c r="G108" i="16" s="1"/>
  <c r="E110" i="16"/>
  <c r="G110" i="16" s="1"/>
  <c r="G120" i="16"/>
  <c r="G119" i="16"/>
  <c r="G118" i="16"/>
  <c r="E117" i="16"/>
  <c r="G117" i="16" s="1"/>
  <c r="E116" i="16"/>
  <c r="G116" i="16" s="1"/>
  <c r="G114" i="16"/>
  <c r="G113" i="16"/>
  <c r="G112" i="16"/>
  <c r="G111" i="16"/>
  <c r="G122" i="16"/>
  <c r="G121" i="16"/>
  <c r="G115" i="16"/>
  <c r="A106" i="16"/>
  <c r="G123" i="16" l="1"/>
  <c r="E95" i="16"/>
  <c r="G95" i="16" s="1"/>
  <c r="G94" i="16"/>
  <c r="K123" i="16" l="1"/>
  <c r="K127" i="16"/>
  <c r="E102" i="16"/>
  <c r="G102" i="16" s="1"/>
  <c r="D37" i="3"/>
  <c r="B37" i="3"/>
  <c r="D36" i="3"/>
  <c r="B36" i="3"/>
  <c r="A99" i="16"/>
  <c r="G101" i="16"/>
  <c r="A89" i="16"/>
  <c r="G93" i="16"/>
  <c r="G92" i="16"/>
  <c r="G91" i="16"/>
  <c r="I27" i="36"/>
  <c r="I20" i="36" s="1"/>
  <c r="I29" i="36" s="1"/>
  <c r="G9" i="36"/>
  <c r="B9" i="36"/>
  <c r="G96" i="16" l="1"/>
  <c r="G36" i="3" s="1"/>
  <c r="B7" i="36"/>
  <c r="G6" i="3"/>
  <c r="L12" i="3" s="1"/>
  <c r="H35" i="3" s="1"/>
  <c r="G103" i="16"/>
  <c r="G37" i="3" s="1"/>
  <c r="G7" i="36" l="1"/>
  <c r="E61" i="35" l="1"/>
  <c r="C61" i="35"/>
  <c r="I69" i="35"/>
  <c r="B56" i="35"/>
  <c r="I61" i="35" l="1"/>
  <c r="B53" i="3"/>
  <c r="D53" i="3"/>
  <c r="B54" i="3"/>
  <c r="D54" i="3"/>
  <c r="F44" i="3"/>
  <c r="A137" i="35"/>
  <c r="D44" i="3"/>
  <c r="B137" i="35" s="1"/>
  <c r="B44" i="3"/>
  <c r="G69" i="16"/>
  <c r="G68" i="16"/>
  <c r="G67" i="16"/>
  <c r="G66" i="16"/>
  <c r="G65" i="16"/>
  <c r="G64" i="16"/>
  <c r="G63" i="16"/>
  <c r="G62" i="16"/>
  <c r="A60" i="16"/>
  <c r="E28" i="35"/>
  <c r="C28" i="35"/>
  <c r="G70" i="16" l="1"/>
  <c r="G44" i="3" s="1"/>
  <c r="E11" i="4"/>
  <c r="E10" i="4"/>
  <c r="B37" i="4" l="1"/>
  <c r="A81" i="16"/>
  <c r="A73" i="16"/>
  <c r="C131" i="35"/>
  <c r="G35" i="35"/>
  <c r="C37" i="35" s="1"/>
  <c r="F19" i="3" s="1"/>
  <c r="B32" i="35"/>
  <c r="A32" i="35"/>
  <c r="A179" i="35"/>
  <c r="I168" i="35"/>
  <c r="A165" i="35"/>
  <c r="B164" i="35"/>
  <c r="A164" i="35"/>
  <c r="B179" i="35"/>
  <c r="B165" i="35"/>
  <c r="G85" i="16"/>
  <c r="G84" i="16"/>
  <c r="G83" i="16"/>
  <c r="G77" i="16"/>
  <c r="G76" i="16"/>
  <c r="G75" i="16"/>
  <c r="G86" i="16" l="1"/>
  <c r="G54" i="3" s="1"/>
  <c r="G78" i="16"/>
  <c r="G53" i="3" s="1"/>
  <c r="I172" i="35"/>
  <c r="B175" i="35" s="1"/>
  <c r="C177" i="35" s="1"/>
  <c r="F53" i="3" s="1"/>
  <c r="F54" i="3"/>
  <c r="F31" i="3" l="1"/>
  <c r="A93" i="35"/>
  <c r="B91" i="35"/>
  <c r="A91" i="35"/>
  <c r="B93" i="35"/>
  <c r="F7" i="16"/>
  <c r="F43" i="3" l="1"/>
  <c r="F42" i="3"/>
  <c r="F41" i="3"/>
  <c r="A129" i="35"/>
  <c r="A125" i="35"/>
  <c r="D43" i="3"/>
  <c r="B43" i="3"/>
  <c r="G50" i="16"/>
  <c r="G51" i="16"/>
  <c r="G52" i="16"/>
  <c r="G53" i="16"/>
  <c r="G54" i="16"/>
  <c r="G55" i="16"/>
  <c r="G56" i="16"/>
  <c r="G29" i="16"/>
  <c r="G30" i="16"/>
  <c r="G31" i="16"/>
  <c r="G32" i="16"/>
  <c r="G33" i="16"/>
  <c r="G34" i="16"/>
  <c r="G35" i="16"/>
  <c r="G22" i="16"/>
  <c r="G23" i="16"/>
  <c r="G24" i="16"/>
  <c r="G25" i="16"/>
  <c r="G26" i="16"/>
  <c r="G27" i="16"/>
  <c r="G28" i="16"/>
  <c r="G49" i="16"/>
  <c r="A47" i="16"/>
  <c r="G57" i="16" l="1"/>
  <c r="G43" i="3" s="1"/>
  <c r="A39" i="16" l="1"/>
  <c r="D42" i="3"/>
  <c r="B129" i="35" s="1"/>
  <c r="B42" i="3"/>
  <c r="E7" i="16"/>
  <c r="E6" i="16"/>
  <c r="E5" i="16"/>
  <c r="F4" i="16"/>
  <c r="F3" i="16"/>
  <c r="G43" i="16"/>
  <c r="G42" i="16"/>
  <c r="G41" i="16"/>
  <c r="G44" i="16" l="1"/>
  <c r="G42" i="3" s="1"/>
  <c r="A19" i="16" l="1"/>
  <c r="D41" i="3"/>
  <c r="B125" i="35" s="1"/>
  <c r="B41" i="3"/>
  <c r="A12" i="16"/>
  <c r="G21" i="16"/>
  <c r="G36" i="16" l="1"/>
  <c r="G41" i="3" s="1"/>
  <c r="I146" i="35" l="1"/>
  <c r="I155" i="35"/>
  <c r="B152" i="35"/>
  <c r="A152" i="35"/>
  <c r="B160" i="35"/>
  <c r="A160" i="35"/>
  <c r="B15" i="3"/>
  <c r="E3" i="16"/>
  <c r="F2" i="16"/>
  <c r="E2" i="16"/>
  <c r="B34" i="4"/>
  <c r="B31" i="4"/>
  <c r="B28" i="4"/>
  <c r="E12" i="4"/>
  <c r="G9" i="4"/>
  <c r="G8" i="4"/>
  <c r="E8" i="4"/>
  <c r="G7" i="4"/>
  <c r="C6" i="22"/>
  <c r="C5" i="22"/>
  <c r="E4" i="22"/>
  <c r="E3" i="22"/>
  <c r="C3" i="22"/>
  <c r="E2" i="22"/>
  <c r="A5" i="22"/>
  <c r="G5" i="21"/>
  <c r="G6" i="36" s="1"/>
  <c r="G4" i="21"/>
  <c r="G5" i="36" s="1"/>
  <c r="E4" i="21"/>
  <c r="E6" i="21"/>
  <c r="G3" i="21"/>
  <c r="H2" i="36" s="1"/>
  <c r="I148" i="35" l="1"/>
  <c r="C150" i="35" s="1"/>
  <c r="I156" i="35"/>
  <c r="C158" i="35" s="1"/>
  <c r="F47" i="3" l="1"/>
  <c r="F48" i="3"/>
  <c r="F49" i="3"/>
  <c r="C162" i="35"/>
  <c r="F50" i="3" s="1"/>
  <c r="F37" i="3" l="1"/>
  <c r="F36" i="3"/>
  <c r="F35" i="3"/>
  <c r="F34" i="3"/>
  <c r="F40" i="3"/>
  <c r="G187" i="35"/>
  <c r="C189" i="35" s="1"/>
  <c r="F57" i="3" s="1"/>
  <c r="A184" i="35"/>
  <c r="B142" i="35"/>
  <c r="B183" i="35"/>
  <c r="B184" i="35"/>
  <c r="B141" i="35"/>
  <c r="B133" i="35"/>
  <c r="A121" i="35"/>
  <c r="A133" i="35"/>
  <c r="A141" i="35"/>
  <c r="A183" i="35"/>
  <c r="B104" i="35"/>
  <c r="B108" i="35"/>
  <c r="B112" i="35"/>
  <c r="B116" i="35"/>
  <c r="B120" i="35"/>
  <c r="B80" i="35"/>
  <c r="A80" i="35"/>
  <c r="I84" i="35"/>
  <c r="C87" i="35" s="1"/>
  <c r="G87" i="35" s="1"/>
  <c r="C89" i="35" s="1"/>
  <c r="F29" i="3" s="1"/>
  <c r="I68" i="35"/>
  <c r="C63" i="35"/>
  <c r="F25" i="3" s="1"/>
  <c r="B58" i="35"/>
  <c r="B65" i="35"/>
  <c r="B81" i="35"/>
  <c r="B103" i="35"/>
  <c r="B121" i="35"/>
  <c r="B57" i="35"/>
  <c r="A57" i="35"/>
  <c r="A58" i="35"/>
  <c r="A65" i="35"/>
  <c r="A81" i="35"/>
  <c r="A103" i="35"/>
  <c r="A104" i="35"/>
  <c r="A108" i="35"/>
  <c r="A112" i="35"/>
  <c r="A116" i="35"/>
  <c r="A120" i="35"/>
  <c r="A56" i="35"/>
  <c r="G52" i="35"/>
  <c r="C54" i="35" s="1"/>
  <c r="F21" i="3" s="1"/>
  <c r="I42" i="35"/>
  <c r="C45" i="35" s="1"/>
  <c r="G45" i="35" s="1"/>
  <c r="C47" i="35" s="1"/>
  <c r="G28" i="35"/>
  <c r="C30" i="35" s="1"/>
  <c r="F18" i="3" s="1"/>
  <c r="C71" i="35" l="1"/>
  <c r="F26" i="3" s="1"/>
  <c r="F20" i="3"/>
  <c r="B49" i="35" l="1"/>
  <c r="A49" i="35"/>
  <c r="B39" i="35"/>
  <c r="A39" i="35"/>
  <c r="C6" i="35"/>
  <c r="C4" i="35"/>
  <c r="C3" i="35"/>
  <c r="C2" i="35"/>
  <c r="G7" i="35"/>
  <c r="G6" i="35"/>
  <c r="G5" i="35"/>
  <c r="G3" i="35"/>
  <c r="G2" i="35"/>
  <c r="H7" i="35"/>
  <c r="H4" i="35"/>
  <c r="H3" i="35"/>
  <c r="H2" i="35"/>
  <c r="A6" i="35"/>
  <c r="A5" i="35"/>
  <c r="A4" i="35"/>
  <c r="A3" i="35"/>
  <c r="A2" i="35"/>
  <c r="G7" i="3"/>
  <c r="F6" i="16" l="1"/>
  <c r="G11" i="4"/>
  <c r="E6" i="22"/>
  <c r="H6" i="35"/>
  <c r="G12" i="4" l="1"/>
  <c r="B11" i="4"/>
  <c r="B9" i="4"/>
  <c r="A9" i="35"/>
  <c r="B8" i="4"/>
  <c r="B7" i="4"/>
  <c r="B40" i="4" l="1"/>
  <c r="B25" i="4"/>
  <c r="B22" i="4"/>
  <c r="B19" i="4"/>
  <c r="F15" i="3" l="1"/>
  <c r="A24" i="35" l="1"/>
  <c r="B24" i="35"/>
  <c r="A25" i="35"/>
  <c r="B25" i="35"/>
  <c r="A11" i="35" l="1"/>
  <c r="A1" i="35" l="1"/>
  <c r="B1" i="16"/>
  <c r="B1" i="4"/>
  <c r="B1" i="22"/>
  <c r="B1" i="21"/>
  <c r="A1" i="36" s="1"/>
  <c r="I22" i="21" l="1"/>
  <c r="I16" i="21" l="1"/>
  <c r="I24" i="21" s="1"/>
  <c r="A13" i="35"/>
  <c r="A12" i="35"/>
  <c r="D15" i="3"/>
  <c r="I20" i="35"/>
  <c r="E15" i="16" s="1"/>
  <c r="I16" i="35"/>
  <c r="E14" i="16" s="1"/>
  <c r="B12" i="35"/>
  <c r="A10" i="35"/>
  <c r="G5" i="3" l="1"/>
  <c r="E5" i="22" s="1"/>
  <c r="B6" i="36"/>
  <c r="G14" i="16"/>
  <c r="G15" i="16"/>
  <c r="B13" i="35"/>
  <c r="G6" i="21" l="1"/>
  <c r="K12" i="3"/>
  <c r="H44" i="3" s="1"/>
  <c r="I44" i="3" s="1"/>
  <c r="G10" i="4"/>
  <c r="H5" i="35"/>
  <c r="F5" i="16"/>
  <c r="H53" i="3"/>
  <c r="I53" i="3" s="1"/>
  <c r="H54" i="3"/>
  <c r="I54" i="3" s="1"/>
  <c r="H42" i="3"/>
  <c r="I42" i="3" s="1"/>
  <c r="G16" i="16"/>
  <c r="G15" i="3" s="1"/>
  <c r="H41" i="3" l="1"/>
  <c r="I41" i="3" s="1"/>
  <c r="H50" i="3"/>
  <c r="I50" i="3" s="1"/>
  <c r="H19" i="3"/>
  <c r="I19" i="3" s="1"/>
  <c r="H27" i="3"/>
  <c r="I27" i="3" s="1"/>
  <c r="H49" i="3"/>
  <c r="I49" i="3" s="1"/>
  <c r="H31" i="3"/>
  <c r="I31" i="3" s="1"/>
  <c r="I55" i="3"/>
  <c r="I37" i="4" s="1"/>
  <c r="G39" i="4" s="1"/>
  <c r="A14" i="4"/>
  <c r="B2" i="22" l="1"/>
  <c r="E7" i="22" l="1"/>
  <c r="B6" i="22"/>
  <c r="B4" i="22"/>
  <c r="B3" i="22"/>
  <c r="C7" i="21"/>
  <c r="A37" i="21" s="1"/>
  <c r="G7" i="21"/>
  <c r="A38" i="21" s="1"/>
  <c r="C4" i="21"/>
  <c r="B3" i="36" s="1"/>
  <c r="C3" i="21"/>
  <c r="B2" i="36" s="1"/>
  <c r="B6" i="16" l="1"/>
  <c r="B2" i="16"/>
  <c r="C5" i="21" l="1"/>
  <c r="B4" i="36" s="1"/>
  <c r="F45" i="22" l="1"/>
  <c r="E45" i="22"/>
  <c r="D45" i="22"/>
  <c r="C45" i="22"/>
  <c r="F41" i="22"/>
  <c r="E41" i="22"/>
  <c r="D41" i="22"/>
  <c r="C41" i="22"/>
  <c r="F34" i="22"/>
  <c r="E34" i="22"/>
  <c r="D34" i="22"/>
  <c r="C34" i="22"/>
  <c r="F22" i="22"/>
  <c r="E22" i="22"/>
  <c r="D22" i="22"/>
  <c r="C22" i="22"/>
  <c r="E46" i="22" l="1"/>
  <c r="F46" i="22"/>
  <c r="C46" i="22"/>
  <c r="D46" i="22"/>
  <c r="H36" i="3" l="1"/>
  <c r="I36" i="3" s="1"/>
  <c r="H37" i="3"/>
  <c r="I37" i="3" s="1"/>
  <c r="H40" i="3"/>
  <c r="I40" i="3" s="1"/>
  <c r="H47" i="3"/>
  <c r="I47" i="3" s="1"/>
  <c r="H48" i="3"/>
  <c r="I48" i="3" s="1"/>
  <c r="H43" i="3"/>
  <c r="I43" i="3" s="1"/>
  <c r="H34" i="3"/>
  <c r="I34" i="3" s="1"/>
  <c r="I35" i="3"/>
  <c r="H57" i="3"/>
  <c r="I57" i="3" s="1"/>
  <c r="H15" i="3"/>
  <c r="I15" i="3" s="1"/>
  <c r="H21" i="3"/>
  <c r="I21" i="3" s="1"/>
  <c r="H20" i="3"/>
  <c r="I20" i="3" s="1"/>
  <c r="H25" i="3"/>
  <c r="I25" i="3" s="1"/>
  <c r="H26" i="3"/>
  <c r="I26" i="3" s="1"/>
  <c r="H29" i="3"/>
  <c r="I29" i="3" s="1"/>
  <c r="H18" i="3"/>
  <c r="I18" i="3" s="1"/>
  <c r="I22" i="3" s="1"/>
  <c r="I45" i="3" l="1"/>
  <c r="I31" i="4" s="1"/>
  <c r="I16" i="3"/>
  <c r="I51" i="3"/>
  <c r="I34" i="4" s="1"/>
  <c r="G36" i="4" s="1"/>
  <c r="I32" i="3"/>
  <c r="I25" i="4" s="1"/>
  <c r="E27" i="4" s="1"/>
  <c r="I38" i="3"/>
  <c r="I28" i="4" s="1"/>
  <c r="I58" i="3"/>
  <c r="I19" i="4" l="1"/>
  <c r="I59" i="3"/>
  <c r="J27" i="3" s="1"/>
  <c r="I40" i="4"/>
  <c r="G42" i="4" s="1"/>
  <c r="G33" i="4"/>
  <c r="E33" i="4"/>
  <c r="G30" i="4"/>
  <c r="E30" i="4"/>
  <c r="I22" i="4"/>
  <c r="E42" i="4" l="1"/>
  <c r="E19" i="4" s="1"/>
  <c r="J17" i="3"/>
  <c r="J46" i="3"/>
  <c r="J28" i="3"/>
  <c r="J52" i="3"/>
  <c r="J39" i="3"/>
  <c r="J56" i="3"/>
  <c r="J33" i="3"/>
  <c r="J30" i="3"/>
  <c r="J24" i="3"/>
  <c r="J23" i="3"/>
  <c r="J42" i="3"/>
  <c r="J53" i="3"/>
  <c r="J50" i="3"/>
  <c r="J31" i="3"/>
  <c r="J49" i="3"/>
  <c r="J19" i="3"/>
  <c r="J44" i="3"/>
  <c r="J54" i="3"/>
  <c r="J41" i="3"/>
  <c r="J26" i="3"/>
  <c r="J40" i="3"/>
  <c r="J57" i="3"/>
  <c r="J35" i="3"/>
  <c r="J48" i="3"/>
  <c r="J43" i="3"/>
  <c r="J29" i="3"/>
  <c r="J18" i="3"/>
  <c r="J15" i="3"/>
  <c r="J20" i="3"/>
  <c r="J37" i="3"/>
  <c r="J34" i="3"/>
  <c r="J21" i="3"/>
  <c r="J47" i="3"/>
  <c r="J25" i="3"/>
  <c r="J36" i="3"/>
  <c r="J58" i="3"/>
  <c r="G19" i="4"/>
  <c r="G21" i="4" s="1"/>
  <c r="G45" i="4" s="1"/>
  <c r="B5" i="3"/>
  <c r="B5" i="16" s="1"/>
  <c r="C27" i="4"/>
  <c r="L42" i="4"/>
  <c r="C24" i="4"/>
  <c r="I43" i="4"/>
  <c r="I45" i="4" s="1"/>
  <c r="J42" i="4" l="1"/>
  <c r="C19" i="4"/>
  <c r="C21" i="4" s="1"/>
  <c r="C45" i="4" s="1"/>
  <c r="B10" i="4"/>
  <c r="B5" i="22"/>
  <c r="C6" i="21"/>
  <c r="B8" i="36" s="1"/>
  <c r="C5" i="35"/>
  <c r="J27" i="4"/>
  <c r="J24" i="4"/>
  <c r="G46" i="4"/>
  <c r="E21" i="4"/>
  <c r="E45" i="4" s="1"/>
  <c r="E46" i="4" s="1"/>
  <c r="G47" i="4" l="1"/>
  <c r="G48" i="4" s="1"/>
  <c r="C47" i="4"/>
  <c r="C48" i="4" s="1"/>
  <c r="C46" i="4"/>
  <c r="E47" i="4"/>
  <c r="E48" i="4" s="1"/>
</calcChain>
</file>

<file path=xl/sharedStrings.xml><?xml version="1.0" encoding="utf-8"?>
<sst xmlns="http://schemas.openxmlformats.org/spreadsheetml/2006/main" count="927" uniqueCount="397">
  <si>
    <t>m²</t>
  </si>
  <si>
    <t>6.1</t>
  </si>
  <si>
    <t>6.2</t>
  </si>
  <si>
    <t>6.3</t>
  </si>
  <si>
    <t>Item</t>
  </si>
  <si>
    <t>Descrição dos Serviços</t>
  </si>
  <si>
    <t>Unid.</t>
  </si>
  <si>
    <t>Quant.</t>
  </si>
  <si>
    <t>Valor Unit.(R$)</t>
  </si>
  <si>
    <t>Valor Total(R$)</t>
  </si>
  <si>
    <t>Total Geral</t>
  </si>
  <si>
    <t>CRONOGRAMA FÍSICO - FINANCEIRO</t>
  </si>
  <si>
    <t>ITEM</t>
  </si>
  <si>
    <t>DESCRIÇÃO</t>
  </si>
  <si>
    <t>1º MÊS</t>
  </si>
  <si>
    <t>2º MÊS</t>
  </si>
  <si>
    <t>3º MÊS</t>
  </si>
  <si>
    <t>TOTAL</t>
  </si>
  <si>
    <t>15 dias</t>
  </si>
  <si>
    <t>TOTAL DO MÊS (R$)</t>
  </si>
  <si>
    <t>TOTAL (%)</t>
  </si>
  <si>
    <t>ACUMULADO NO MÊS (R$)</t>
  </si>
  <si>
    <t>ACUMULADO (%)</t>
  </si>
  <si>
    <t>TOTAL DO GERAL (R$)</t>
  </si>
  <si>
    <t>%</t>
  </si>
  <si>
    <t>Valor BDI(R$)</t>
  </si>
  <si>
    <t xml:space="preserve">L= </t>
  </si>
  <si>
    <t>x</t>
  </si>
  <si>
    <t>=</t>
  </si>
  <si>
    <t>Total</t>
  </si>
  <si>
    <t>Código</t>
  </si>
  <si>
    <t>UNID</t>
  </si>
  <si>
    <t>Valor</t>
  </si>
  <si>
    <t>und</t>
  </si>
  <si>
    <t>Total do ítem</t>
  </si>
  <si>
    <t>SERVENTE COM ENCARGOS COMPLEMENTARES</t>
  </si>
  <si>
    <t>COMPOSIÇÃO 1</t>
  </si>
  <si>
    <t>Data Base: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</si>
  <si>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</si>
  <si>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</si>
  <si>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</si>
  <si>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</si>
  <si>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</si>
  <si>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</si>
  <si>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</si>
  <si>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</si>
  <si>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ISS</t>
  </si>
  <si>
    <t>PIS</t>
  </si>
  <si>
    <t>COFINS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</si>
  <si>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</si>
  <si>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</si>
  <si>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</si>
  <si>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</si>
  <si>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</si>
  <si>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</si>
  <si>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</si>
  <si>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</si>
  <si>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</si>
  <si>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COMPOSIÇÃO ANALÍTICA DA TAXA DE BENEFÍCIO E DESPESAS INDIRETAS (BDI)</t>
  </si>
  <si>
    <t>Proponente:</t>
  </si>
  <si>
    <t>Objeto:</t>
  </si>
  <si>
    <t>BDI</t>
  </si>
  <si>
    <t xml:space="preserve">Responsável Técnico:    </t>
  </si>
  <si>
    <t xml:space="preserve">Registro Profissional:  </t>
  </si>
  <si>
    <t>Município/UF:</t>
  </si>
  <si>
    <t>ENCARGOS SOCIAIS SOBRE A MÃO DE OBRA</t>
  </si>
  <si>
    <t>CÓDIGO</t>
  </si>
  <si>
    <t>COM DESONERAÇÃO</t>
  </si>
  <si>
    <t>SEM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</si>
  <si>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</si>
  <si>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</si>
  <si>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</si>
  <si>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</si>
  <si>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</si>
  <si>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</si>
  <si>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</si>
  <si>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</si>
  <si>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</si>
  <si>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</si>
  <si>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</si>
  <si>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</si>
  <si>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</si>
  <si>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</si>
  <si>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</si>
  <si>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</si>
  <si>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</si>
  <si>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</si>
  <si>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</si>
  <si>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</si>
  <si>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</si>
  <si>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</si>
  <si>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GRUPO B</t>
  </si>
  <si>
    <t>B1</t>
  </si>
  <si>
    <t xml:space="preserve">Repouso Semanal Remunerado </t>
  </si>
  <si>
    <t>Não incide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</si>
  <si>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</si>
  <si>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</si>
  <si>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</si>
  <si>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</si>
  <si>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</si>
  <si>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</si>
  <si>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</si>
  <si>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</si>
  <si>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</si>
  <si>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</si>
  <si>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</si>
  <si>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</si>
  <si>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</si>
  <si>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</si>
  <si>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</si>
  <si>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</si>
  <si>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</si>
  <si>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</si>
  <si>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</si>
  <si>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</si>
  <si>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</si>
  <si>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</si>
  <si>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</si>
  <si>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</si>
  <si>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</si>
  <si>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</si>
  <si>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</si>
  <si>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</si>
  <si>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</si>
  <si>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</si>
  <si>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</si>
  <si>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</si>
  <si>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</si>
  <si>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</si>
  <si>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</si>
  <si>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</si>
  <si>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</si>
  <si>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t>COMPOSIÇÕES</t>
  </si>
  <si>
    <t>Local:</t>
  </si>
  <si>
    <t>Responsável Técnico</t>
  </si>
  <si>
    <t>Município:</t>
  </si>
  <si>
    <t>Registro Profissional</t>
  </si>
  <si>
    <t>SINAPI</t>
  </si>
  <si>
    <t>Fonte</t>
  </si>
  <si>
    <t>CAU: 28510-2 A</t>
  </si>
  <si>
    <t>Maruza Baptista</t>
  </si>
  <si>
    <t>Planilha Orçamentária</t>
  </si>
  <si>
    <t>Comprimento</t>
  </si>
  <si>
    <t>Largura</t>
  </si>
  <si>
    <t>h</t>
  </si>
  <si>
    <t>ENCARREGADO GERAL COM ENCARGOS COMPLEMENTARES</t>
  </si>
  <si>
    <t>h/dia</t>
  </si>
  <si>
    <t>dias/mês</t>
  </si>
  <si>
    <t>duração da obra (mês)</t>
  </si>
  <si>
    <t>L=</t>
  </si>
  <si>
    <t>UN</t>
  </si>
  <si>
    <t>H</t>
  </si>
  <si>
    <t xml:space="preserve">UN    </t>
  </si>
  <si>
    <t>PREFEITURA MUNICÍPAL DE ULIANÓPOLIS</t>
  </si>
  <si>
    <t>ULIANÓPOLIS/PA</t>
  </si>
  <si>
    <t>Descrição do Serviço</t>
  </si>
  <si>
    <t>SERVIÇOS PRELIMINARES</t>
  </si>
  <si>
    <t>ADMINISTRAÇÃO LOCAL</t>
  </si>
  <si>
    <t>COMPOSIÇÃO 2</t>
  </si>
  <si>
    <t>1.1</t>
  </si>
  <si>
    <t>2.1</t>
  </si>
  <si>
    <t>3.1</t>
  </si>
  <si>
    <t>3.2</t>
  </si>
  <si>
    <t>4.1</t>
  </si>
  <si>
    <t>4.3</t>
  </si>
  <si>
    <t>4.4</t>
  </si>
  <si>
    <t>Subtotal item 4.0</t>
  </si>
  <si>
    <t>Subtotal item 2.0</t>
  </si>
  <si>
    <t>Subtotal item 1.0</t>
  </si>
  <si>
    <t>Faltas Justificadas</t>
  </si>
  <si>
    <t>Total (m²)</t>
  </si>
  <si>
    <t xml:space="preserve"> </t>
  </si>
  <si>
    <t>2.2</t>
  </si>
  <si>
    <t>2.3</t>
  </si>
  <si>
    <t>10008</t>
  </si>
  <si>
    <t>NOTAS EXPLICATIVAS</t>
  </si>
  <si>
    <t>1. A Prefeitura de Ulianópolis realiza manutenção periódica do local, no que se refere a limpeza, sendo assim os trechos adotados para limpeza são pontuais e não se aplica a todos os trechos delimitados em Projeto Arquitetônico. (Item 2.3)</t>
  </si>
  <si>
    <t>m³</t>
  </si>
  <si>
    <t>CONSTRUÇÃO DE RODOVIAS E FERROVIAS</t>
  </si>
  <si>
    <t>2. Tendo em vista que as atividades contempladas na planilha orçamentários, não necessitam de equipamentos de grande porte, onde para estes há a necessidade de deslocamento por meio de um veículo especifico até o local da atividade. Por tanto, não foi incluída na referida planilha o item: Mobilização e Desmobilização.</t>
  </si>
  <si>
    <t>5) Antes da aplicação do BDI (Teto Empresa de Lucros Real ) os insumos constantes do art.3º da Lei nº10.637/02 deverão sofrer redução de 1,65%, após 31/12/2008, reduzir também do insumoo percentual de 7,6% da COFINS conforme art. 3º da Lei nº10.833/03 combinado com o inciso XX do art.10 da mesma Lei.</t>
  </si>
  <si>
    <t>________________________________________________________</t>
  </si>
  <si>
    <t>Para o tipo de obra "CONSTRUÇÃO DE RODOVIAS E FERROVIAS" enquadram-se: a construção e recuperação de: autoestradas, rodovias e outras vias não-urbanas para passagem de veículos, vias férreas de superfície ou subterrâneas (inclusive para metropolitanos), pistas de aeroportos. Esta classe compreende também: a pavimentação de autoestradas,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 Além de quadras descobertas.</t>
  </si>
  <si>
    <t>TIPO DE OBRA</t>
  </si>
  <si>
    <t>Total (m³)</t>
  </si>
  <si>
    <t>+</t>
  </si>
  <si>
    <t>Altura</t>
  </si>
  <si>
    <t>Área</t>
  </si>
  <si>
    <t>4.2</t>
  </si>
  <si>
    <t>CONSTRUÇÃO DO MONUMENTO SAGRADO CORAÇÃO NO MUNICÍPIO DE ULIANÓPOLIS/PA</t>
  </si>
  <si>
    <t>ULINANÓPOLIS/PA</t>
  </si>
  <si>
    <t>Data:</t>
  </si>
  <si>
    <t xml:space="preserve">Valor: </t>
  </si>
  <si>
    <t>SEOP</t>
  </si>
  <si>
    <t>Limpeza do terreno</t>
  </si>
  <si>
    <t>11350</t>
  </si>
  <si>
    <t>Tapume metálico</t>
  </si>
  <si>
    <t>10009</t>
  </si>
  <si>
    <t>Locação da obra a trena</t>
  </si>
  <si>
    <t>40257</t>
  </si>
  <si>
    <t>Lastro de concreto magro c/ seixo</t>
  </si>
  <si>
    <t>51286</t>
  </si>
  <si>
    <t>SUPERESTRUTURA - MONUMENTO</t>
  </si>
  <si>
    <t>10786</t>
  </si>
  <si>
    <t>Aluguel e montagem de andaime metálico</t>
  </si>
  <si>
    <t>M²/Mês</t>
  </si>
  <si>
    <t>INSTALAÇÕES ELÉTRICAS</t>
  </si>
  <si>
    <t>PINTURA</t>
  </si>
  <si>
    <t>SERVIÇOS FINAIS</t>
  </si>
  <si>
    <t>3.1.1</t>
  </si>
  <si>
    <t>3.1.2</t>
  </si>
  <si>
    <t>3.2.1</t>
  </si>
  <si>
    <t>170081</t>
  </si>
  <si>
    <t>Ponto de luz / força (c/tubul., cx. e fiaçao) ate 200W</t>
  </si>
  <si>
    <t>5.1</t>
  </si>
  <si>
    <t>5.2</t>
  </si>
  <si>
    <t>5.3</t>
  </si>
  <si>
    <t>5.4</t>
  </si>
  <si>
    <t>PT</t>
  </si>
  <si>
    <t>88485</t>
  </si>
  <si>
    <t>FUNDO SELADOR ACRÍLICO, APLICAÇÃO MANUAL EM PAREDE, UMA DEMÃO. AF_04/2023</t>
  </si>
  <si>
    <t>102492</t>
  </si>
  <si>
    <t>PINTURA DE PISO COM TINTA ACRÍLICA, APLICAÇÃO MANUAL, 3 DEMÃOS, INCLUSO FUNDO PREPARADOR. AF_05/2021</t>
  </si>
  <si>
    <t>270220</t>
  </si>
  <si>
    <t>Limpeza geral e entrega da obra</t>
  </si>
  <si>
    <t>Coprimentos</t>
  </si>
  <si>
    <t>Total (m)</t>
  </si>
  <si>
    <t>Comp. Total</t>
  </si>
  <si>
    <t>Compr.</t>
  </si>
  <si>
    <t>Quant. Mês</t>
  </si>
  <si>
    <t>COTAÇÃO DE MERCADO</t>
  </si>
  <si>
    <t>UND</t>
  </si>
  <si>
    <t>pt</t>
  </si>
  <si>
    <t>Base de apoio</t>
  </si>
  <si>
    <t xml:space="preserve">UN </t>
  </si>
  <si>
    <t>ENGENHEIRO CIVIL DE OBRA JUNIOR COM ENCARGOS COMPLEMENTARES</t>
  </si>
  <si>
    <t>ADMINISTRAÇÃO DA OBRA COM ENGENHEIRO CIVIL E ENCARREGADO GERAL</t>
  </si>
  <si>
    <t>COMPOSIÇÃO 3</t>
  </si>
  <si>
    <t>MERCADO</t>
  </si>
  <si>
    <t>Valor:</t>
  </si>
  <si>
    <t>ENGENHEIRO CIVIL COM ENCARGOS COMPLEMENTARES</t>
  </si>
  <si>
    <t>CONSTRUÇÃO DO MONUMENTO SAGRADO CORAÇÃO DE JESUS NO MUNICÍPIO DE ULIANÓPOLIS/PA</t>
  </si>
  <si>
    <t>Compr. (m)</t>
  </si>
  <si>
    <t>100721</t>
  </si>
  <si>
    <t>PINTURA COM TINTA ALQUÍDICA DE FUNDO (TIPO ZARCÃO) PULVERIZADA SOBRE SUPERFÍCIES METÁLICAS (EXCETO PERFIL) EXECUTADO EM OBRA (POR DEMÃO). AF_01/2020_PE</t>
  </si>
  <si>
    <t>Painel em aço inox</t>
  </si>
  <si>
    <t>100757</t>
  </si>
  <si>
    <t>PINTURA COM TINTA ALQUÍDICA DE ACABAMENTO (ESMALTE SINTÉTICO ACETINADO) PULVERIZADA SOBRE SUPERFÍCIES METÁLICAS (EXCETO PERFIL) EXECUTADO EM OBRA (02 DEMÃOS). AF_01/2020_PE</t>
  </si>
  <si>
    <t>Quant. Lados</t>
  </si>
  <si>
    <t>Quant. de lados</t>
  </si>
  <si>
    <t>5.5</t>
  </si>
  <si>
    <t>COMPOSIÇÃO 4</t>
  </si>
  <si>
    <t>SINAPI-I</t>
  </si>
  <si>
    <t xml:space="preserve">CONECTOR DE ALUMINIO TIPO PRENSA CABO, BITOLA 1/2", PARA CABOS DE DIAMETRO DE 12,5 A 15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</si>
  <si>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PARAFUSO, COMUM, ASTM A307, SEXTAVADO, DIAMETRO 1/2" (12,7 MM), COMPRIMENTO 1" (25,4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</si>
  <si>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RELÉ FOTOELÉTRICO PARA COMANDO DE ILUMINAÇÃO EXTERNA 1000 W - FORNECIMENTO E INSTALAÇÃO. AF_08/2020</t>
  </si>
  <si>
    <t>Joelho/Cotovelo 90º  PVC - JS - 50mm-LH</t>
  </si>
  <si>
    <t>Escavação manual ate 1.50m de profundidade</t>
  </si>
  <si>
    <t>PREPARO DE FUNDO DE VALA COM LARGURA MENOR QUE 1,5 M (ACERTO DO SOLO NATURAL). AF_08/2020</t>
  </si>
  <si>
    <t>LASTRO DE CONCRETO MAGRO, APLICADO EM BLOCOS DE COROAMENTO OU SAPATAS, ESPESSURA DE 5 CM. AF_08/2017</t>
  </si>
  <si>
    <t>Bloco em concreto armado p/ fundaçao (incl. forma)</t>
  </si>
  <si>
    <t>PEÇA RETANGULAR PRÉ-MOLDADA, VOLUME DE CONCRETO ACIMA DE 100 LITROS, TAXA DE AÇO APROXIMADA DE 30KG/M³. AF_01/2018</t>
  </si>
  <si>
    <t>Grade de ferro 1/2" (incl. pint. anti-corrosiva)</t>
  </si>
  <si>
    <t>FURO MECANIZADO EM CONCRETO, COM MARTELO DEMOLIDOR, PARA INSTALAÇÕES HIDRÁULICAS, DIÂMETROS MENORES OU IGUAIS A 40 MM. AF_09/2023</t>
  </si>
  <si>
    <t xml:space="preserve">CADEADO SIMPLES, CORPO EM LATAO MACICO, COM LARGURA DE 25 MM E ALTURA DE APROX 25 MM, HASTE CEMENTADA (NAO LONGA), EM ACO TEMPERADO COM DIAMETRO DE APROX 5,0 MM, INCLUINDO 2 CHAVES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</si>
  <si>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ELETRICISTA COM ENCARGOS COMPLEMENTARES</t>
  </si>
  <si>
    <t xml:space="preserve">CENTO </t>
  </si>
  <si>
    <t>M2</t>
  </si>
  <si>
    <t>M3</t>
  </si>
  <si>
    <t>COMPOSIÇÃO 5</t>
  </si>
  <si>
    <t>88264</t>
  </si>
  <si>
    <t>247</t>
  </si>
  <si>
    <t xml:space="preserve">AJUDANTE DE ELETRICISTA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</si>
  <si>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</si>
  <si>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38033</t>
  </si>
  <si>
    <t>122</t>
  </si>
  <si>
    <t>20083</t>
  </si>
  <si>
    <t>38383</t>
  </si>
  <si>
    <t>88247</t>
  </si>
  <si>
    <t>102719</t>
  </si>
  <si>
    <t xml:space="preserve">TUBO PVC CORRUGADO, PAREDE DUPLA, JE, DN 200 MM/ DE 200 MM, REDE COLETORA ESGOTO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</si>
  <si>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ADESIVO PLASTICO PARA PVC, FRASCO COM *850* GR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</si>
  <si>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SOLUCAO PREPARADORA / LIMPADORA PARA PVC, FRASCO COM 1000 CM3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</si>
  <si>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LIXA D'AGUA EM FOLHA, GRAO 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</si>
  <si>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ENCHIMENTO DE BRITA PARA DRENO, LANÇAMENTO MANUAL. AF_07/2021</t>
  </si>
  <si>
    <t>AUXILIAR DE ELETRICISTA COM ENCARGOS COMPLEMENTARES</t>
  </si>
  <si>
    <t xml:space="preserve">M     </t>
  </si>
  <si>
    <t>m</t>
  </si>
  <si>
    <t>7.1</t>
  </si>
  <si>
    <t>BASE DE APOIO</t>
  </si>
  <si>
    <t>3.3</t>
  </si>
  <si>
    <t>3.3.2</t>
  </si>
  <si>
    <r>
      <t>M</t>
    </r>
    <r>
      <rPr>
        <b/>
        <i/>
        <sz val="10"/>
        <rFont val="Arial"/>
        <family val="2"/>
      </rPr>
      <t>³</t>
    </r>
  </si>
  <si>
    <t>M³</t>
  </si>
  <si>
    <t>comprimento</t>
  </si>
  <si>
    <t>Largura+0,10</t>
  </si>
  <si>
    <t>Comprimento+0,10</t>
  </si>
  <si>
    <t>8.1</t>
  </si>
  <si>
    <t>7.2</t>
  </si>
  <si>
    <t>88316</t>
  </si>
  <si>
    <t>88441</t>
  </si>
  <si>
    <t>JARDINEIRO COM ENCARGOS COMPLEMENTARES</t>
  </si>
  <si>
    <t>COMPOSIÇÃO 6</t>
  </si>
  <si>
    <t>COMPOSIÇÃO 7</t>
  </si>
  <si>
    <t>LIMITADOR DE GRAMA - FORNECIMENTO E INSTALAÇÃO</t>
  </si>
  <si>
    <t>LIMITADOR DE GRAMA 12CM</t>
  </si>
  <si>
    <t>COMPOSIÇÃO 8</t>
  </si>
  <si>
    <t>PAISAGISMO</t>
  </si>
  <si>
    <t>Largura (m)</t>
  </si>
  <si>
    <t>Canteiro 4</t>
  </si>
  <si>
    <t>Quant. de mudas p/ m²</t>
  </si>
  <si>
    <t>Quant. Total de mudas</t>
  </si>
  <si>
    <t>11340</t>
  </si>
  <si>
    <t>Placa de obra em lona com plotagem de gráfica</t>
  </si>
  <si>
    <t>2.4</t>
  </si>
  <si>
    <t>COMPOSIÇÃO 9</t>
  </si>
  <si>
    <t>88317</t>
  </si>
  <si>
    <t>SOLDADOR COM ENCARGOS COMPLEMENTARES</t>
  </si>
  <si>
    <t>88278</t>
  </si>
  <si>
    <t>MONTADOR DE ESTRUTURA METÁLICA COM ENCARGOS COMPLEMENTARES</t>
  </si>
  <si>
    <t>Subtotal item 3.0</t>
  </si>
  <si>
    <t>Subtotal item 5.0</t>
  </si>
  <si>
    <t>Subtotal item 6.0</t>
  </si>
  <si>
    <t>Subtotal item 7.0</t>
  </si>
  <si>
    <t>Subtotal item 8.0</t>
  </si>
  <si>
    <t>ELEMENTOS DECORATIVOS</t>
  </si>
  <si>
    <t>FORNECIMENTO E INSTALAÇÃO DE REFLETOR DE LED 100 W, LUZ AMARELA, À PROVA D'ÁGUA, EMBUTIDO NO PISO.</t>
  </si>
  <si>
    <t>LUMINARIA SPOT LED BALIZADOR PARA PISO, LUZ AMARELA 5W, À PROVA DÁGUA</t>
  </si>
  <si>
    <t>FORNECIMENTO E INSTALAÇÃO DE LUMINÁRIA SPOT LED BALIZADOR PARA PISO, LUZ AMARELA 5W, À PROVA D'ÁGUA, EMBUTIDO NO PISO.</t>
  </si>
  <si>
    <t>LUMINARIA LED REFLETOR RETANGULAR BIVOLT, LUZ COLORIDO, 100 W, À PROVA D'ÁGUA</t>
  </si>
  <si>
    <t>LUMINARIA LED REFLETOR BIVOLT, LUZ AMARELA, 100 W, À PROVA D'ÁGUA</t>
  </si>
  <si>
    <t>FORNECIMENTO E INSTALAÇÃO DE REFLETOR DE LED RGB 100 W COM CAIXA DE CONCRETO , FECHADO COM GRADE DE FERRO E CADEADO.</t>
  </si>
  <si>
    <t>FORNECIMENTO E INSTALAÇÃO DE ELEMENTO DECORATIVO EM AÇO INOXIDÁVEL - PAINEL MEDINDO 5,80mx4,15 m</t>
  </si>
  <si>
    <t>LUMINÁRIA ALUMINIO PERFIL LED, USO EXTERNO, IP-67 + FITA LED 10W/m, LUZ AMARELA,  COM FONTE - FORNECIMENTO E INSTALAÇÃO</t>
  </si>
  <si>
    <t>LUMINÁRIA ALUMINIO PERFIL LED, USO EXTERNO, IP-67 + FITA LED 10W/m, LUAZ AMARELA - COM FONTE</t>
  </si>
  <si>
    <t>Concreto armado FCK=30MPA c/ forma madeira branca (incl. lançamento e adensamento)</t>
  </si>
  <si>
    <t>ESTRUTURA</t>
  </si>
  <si>
    <t>INFRAESTRUTURA</t>
  </si>
  <si>
    <t>Arranque</t>
  </si>
  <si>
    <t>ESTADO DO PARÁ
PREFEITURA MUNICIPAL DE ULIANÓPOLIS
CNPJ: 83.334.672/0001-60</t>
  </si>
  <si>
    <t>Prazo</t>
  </si>
  <si>
    <t>BDI- SERVIÇOS</t>
  </si>
  <si>
    <t>BDI- EQUIPAMENTOS</t>
  </si>
  <si>
    <t xml:space="preserve">Valor:  </t>
  </si>
  <si>
    <t>CONSTRUÇÃO DE EDIFÍCIOS</t>
  </si>
  <si>
    <t>MIN</t>
  </si>
  <si>
    <t>MED</t>
  </si>
  <si>
    <t>MAX</t>
  </si>
  <si>
    <t>1) Alíquota de ISS é determinada pela “Relação de Serviços”  conforme código tributário do município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</si>
  <si>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</si>
  <si>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>6) Para o Município será utilizado o ISS 5% sobre 50% do valor total, conforme a legislação vigente.</t>
  </si>
  <si>
    <t>BDI ITENS DE FORNECIMENTO DE MATERIAIS</t>
  </si>
  <si>
    <t>3 meses</t>
  </si>
  <si>
    <t>BDI Equipamento:</t>
  </si>
  <si>
    <t>FABRICAÇÃO, EXECUÇÃO E MONTAGEM DE ESTATUA DE SAGRADO CORACAO DE JESUS EM ESTRUTURA METÁLICA E RECOBRIMENTO EM FIBRA DE VIDRO SINTÉTICA E ACABAMENTO EM GEL RESINADO E PINTURA DE ACABAMENTO FINAL.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</si>
  <si>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</si>
  <si>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</si>
  <si>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</si>
  <si>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>5930</t>
  </si>
  <si>
    <t>GUINDAUTO HIDRÁULICO, CAPACIDADE MÁXIMA DE CARGA 6200 KG, MOMENTO MÁXIMO DE CARGA 11,7 TM, ALCANCE MÁXIMO HORIZONTAL 9,70 M, INCLUSIVE CAMINHÃO TOCO PBT 16.000 KG, POTÊNCIA DE 189 CV - CHI DIURNO. AF_06/2014</t>
  </si>
  <si>
    <t>CHI</t>
  </si>
  <si>
    <t>4) Os percentuais dos itens que compõem analiticamente o BDI são so limites referenciais máximos adotados pela Administração consoante com o art.40 inciso X da Lei 14.133/2021</t>
  </si>
  <si>
    <t>BDI Serviços:</t>
  </si>
  <si>
    <t>TRANSPORTE DE ESTATUA DO SAGRADO CORAÇÃO DE JESUS EM ESTRUTURA METÁLICA DE SANTA MARIA DO PARÁ PARA ULIANÓPOLIS/PA.</t>
  </si>
  <si>
    <t>INSTALAÇÃO DE ESTATUA DE SAGRADO CORAÇÃO DE JESUS EM ESTRUTURA METÁLICA, INCLUINDO IÇAMENTO</t>
  </si>
  <si>
    <t>COMPOSIÇÃO 10</t>
  </si>
  <si>
    <t>FORNECIMENTO E INSTALAÇÃO DE PAINEL DECORATIVO EM CHAPA DE AÇO CARBONO, INCLUINDO IÇAMENTO</t>
  </si>
  <si>
    <t>CHAPA DE ACO FINA A QUENTE BITOLA MSG 13, E = 2,25 MM (18,00 KG/M2)</t>
  </si>
  <si>
    <t>ELETRODO REVESTIDO AWS - E6013, DIAMETRO IGUAL A 2,50 MM</t>
  </si>
  <si>
    <t>KG</t>
  </si>
  <si>
    <t>DISCO DE DESBASTE PARA METAL FERROSO EM GERAL, COM TRES TELAS, 9 X 1/4 X 7/8 " (228,6 X 6,4 X 22,2 MM)</t>
  </si>
  <si>
    <t>DISCO DE CORTE PARA METAL COM DUAS TELAS 12 X 1/8 X 3/4 " (300 X 3,2 X 19,05 MM)</t>
  </si>
  <si>
    <t>DISCO DE LIXA PARA METAL, DIAMETRO = 180 MM, GRAO 120 (FLAP)</t>
  </si>
  <si>
    <t>PINTURA COM TINTA EPOXÍDICA DE ACABAMENTO APLICADA A ROLO OU PINCEL SOBRE PERFIL METÁLICO EXECUTADO EM FÁBRICA (02 DEMÃOS). AF_01/2020</t>
  </si>
  <si>
    <t>PINTURA COM TINTA ALQUÍDICA DE FUNDO (TIPO ZARCÃO) PULVERIZADA SOBRE SUPERFÍCIES METÁLICAS (EXCETO PERFIL) EXECUTADO EM OBRA (POR DEMÃO). AF
_01/2020_PE</t>
  </si>
  <si>
    <t>VERNIZ A BASE RESINA ALQUIDICA COM POLIURETANO PARA METAL, COM FILTRO SOLAR, ACETINADO, USO INTERNO E EXTERNO</t>
  </si>
  <si>
    <t>L</t>
  </si>
  <si>
    <t>COTAÇÃO</t>
  </si>
  <si>
    <t>PERFIL "U" SIMPLES, EM CHAPA DOBRADA DE ACO LAMINADO, E = 4,75 MM, H = 100 MM,75 MM (8,74 KG/M)</t>
  </si>
  <si>
    <t xml:space="preserve">CORTE  EM MAQUINA DE PLASMA  EM CHAPA DECORATIVA </t>
  </si>
  <si>
    <t>Bloco</t>
  </si>
  <si>
    <t>3.1.3</t>
  </si>
  <si>
    <t>94990</t>
  </si>
  <si>
    <t>EXECUÇÃO DE PASSEIO (CALÇADA) OU PISO DE CONCRETO COM CONCRETO MOLDADO IN LOCO, FEITO EM OBRA, ACABAMENTO CONVENCIONAL, NÃO ARMADO. AF_08/2022</t>
  </si>
  <si>
    <t>Base maior</t>
  </si>
  <si>
    <t>Piso em concreto armado</t>
  </si>
  <si>
    <t>π</t>
  </si>
  <si>
    <t>r²</t>
  </si>
  <si>
    <t>Base menor</t>
  </si>
  <si>
    <t>Área do trapezio (Base de apoio)</t>
  </si>
  <si>
    <t>Volume</t>
  </si>
  <si>
    <t>Área (m²)</t>
  </si>
  <si>
    <t>Piso em concreto</t>
  </si>
  <si>
    <t>PLANTIO DE MUDA DE DIANELA - FORNECIMENTO E INSTALAÇÃO</t>
  </si>
  <si>
    <t>MUDA DE DIANELA</t>
  </si>
  <si>
    <t>SINAPI ABRIL 2024 - DESONERADA</t>
  </si>
  <si>
    <t>SEOP ABRIL 2024 - DESONERADA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</si>
</sst>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m\-yy;@"/>
    <numFmt numFmtId="166" formatCode="&quot;R$ &quot;#,##0.00;[Red]&quot;-R$ &quot;#,##0.00"/>
    <numFmt numFmtId="167" formatCode="_(&quot;R$ &quot;* #,##0.00_);_(&quot;R$ &quot;* \(#,##0.00\);_(&quot;R$ &quot;* &quot;-&quot;??_);_(@_)"/>
    <numFmt numFmtId="168" formatCode="&quot;R$&quot;\ #,##0.00"/>
    <numFmt numFmtId="169" formatCode="_-[$R$-416]\ * #,##0.00_-;\-[$R$-416]\ * #,##0.00_-;_-[$R$-416]\ * &quot;-&quot;??_-;_-@_-"/>
    <numFmt numFmtId="170" formatCode="#,##0.00;[Red]#,##0.00"/>
    <numFmt numFmtId="171" formatCode="_(&quot;R$&quot;* #,##0.00_);_(&quot;R$&quot;* \(#,##0.00\);_(&quot;R$&quot;* &quot;-&quot;??_);_(@_)"/>
    <numFmt numFmtId="172" formatCode="0.0000"/>
    <numFmt numFmtId="173" formatCode="dd/mm/yy;@"/>
    <numFmt numFmtId="174" formatCode="#,##0.00_ ;[Red]\-#,##0.00\ "/>
    <numFmt numFmtId="175" formatCode="&quot;R$ &quot;#,##0.00_);\(&quot;R$ &quot;#,##0.0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1"/>
      <color rgb="FF00000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71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12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/>
    <xf numFmtId="8" fontId="4" fillId="3" borderId="4" xfId="5" applyNumberFormat="1" applyFont="1" applyFill="1" applyBorder="1" applyAlignment="1">
      <alignment horizontal="center"/>
    </xf>
    <xf numFmtId="0" fontId="4" fillId="3" borderId="4" xfId="5" applyFont="1" applyFill="1" applyBorder="1" applyAlignment="1">
      <alignment horizontal="center"/>
    </xf>
    <xf numFmtId="0" fontId="3" fillId="3" borderId="4" xfId="5" applyFill="1" applyBorder="1" applyAlignment="1">
      <alignment horizontal="center" vertical="center"/>
    </xf>
    <xf numFmtId="4" fontId="3" fillId="3" borderId="4" xfId="5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vertical="center" wrapText="1"/>
    </xf>
    <xf numFmtId="7" fontId="4" fillId="4" borderId="52" xfId="1" applyNumberFormat="1" applyFont="1" applyFill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9" xfId="0" applyBorder="1" applyAlignment="1">
      <alignment horizontal="center"/>
    </xf>
    <xf numFmtId="169" fontId="10" fillId="3" borderId="0" xfId="0" applyNumberFormat="1" applyFont="1" applyFill="1" applyAlignment="1">
      <alignment vertical="center" wrapText="1"/>
    </xf>
    <xf numFmtId="2" fontId="11" fillId="0" borderId="12" xfId="13" applyNumberFormat="1" applyFont="1" applyBorder="1" applyAlignment="1">
      <alignment vertical="center"/>
    </xf>
    <xf numFmtId="2" fontId="11" fillId="0" borderId="17" xfId="13" applyNumberFormat="1" applyFont="1" applyBorder="1" applyAlignment="1">
      <alignment vertical="center"/>
    </xf>
    <xf numFmtId="2" fontId="12" fillId="0" borderId="12" xfId="8" applyNumberFormat="1" applyFont="1" applyFill="1" applyBorder="1" applyAlignment="1" applyProtection="1">
      <alignment horizontal="center" vertical="center"/>
    </xf>
    <xf numFmtId="2" fontId="11" fillId="0" borderId="4" xfId="13" applyNumberFormat="1" applyFont="1" applyBorder="1" applyAlignment="1">
      <alignment vertical="center"/>
    </xf>
    <xf numFmtId="2" fontId="11" fillId="0" borderId="13" xfId="13" applyNumberFormat="1" applyFont="1" applyBorder="1" applyAlignment="1">
      <alignment vertical="center"/>
    </xf>
    <xf numFmtId="2" fontId="12" fillId="0" borderId="4" xfId="8" applyNumberFormat="1" applyFont="1" applyFill="1" applyBorder="1" applyAlignment="1" applyProtection="1">
      <alignment horizontal="center" vertical="center"/>
    </xf>
    <xf numFmtId="2" fontId="11" fillId="0" borderId="4" xfId="13" applyNumberFormat="1" applyFont="1" applyBorder="1" applyAlignment="1">
      <alignment horizontal="center" vertical="center"/>
    </xf>
    <xf numFmtId="2" fontId="12" fillId="0" borderId="4" xfId="8" applyNumberFormat="1" applyFont="1" applyFill="1" applyBorder="1" applyAlignment="1" applyProtection="1">
      <alignment horizontal="right" vertical="center"/>
    </xf>
    <xf numFmtId="2" fontId="12" fillId="0" borderId="13" xfId="8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0" fontId="0" fillId="0" borderId="0" xfId="0" applyNumberFormat="1"/>
    <xf numFmtId="10" fontId="3" fillId="3" borderId="61" xfId="0" applyNumberFormat="1" applyFont="1" applyFill="1" applyBorder="1" applyAlignment="1">
      <alignment horizontal="center" vertical="center"/>
    </xf>
    <xf numFmtId="8" fontId="4" fillId="4" borderId="4" xfId="5" applyNumberFormat="1" applyFont="1" applyFill="1" applyBorder="1" applyAlignment="1">
      <alignment horizontal="center" vertical="center"/>
    </xf>
    <xf numFmtId="168" fontId="3" fillId="0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/>
    <xf numFmtId="10" fontId="0" fillId="0" borderId="4" xfId="0" applyNumberFormat="1" applyBorder="1"/>
    <xf numFmtId="10" fontId="3" fillId="0" borderId="4" xfId="0" applyNumberFormat="1" applyFont="1" applyBorder="1"/>
    <xf numFmtId="0" fontId="4" fillId="2" borderId="4" xfId="0" applyFont="1" applyFill="1" applyBorder="1" applyAlignment="1">
      <alignment horizontal="center"/>
    </xf>
    <xf numFmtId="10" fontId="4" fillId="2" borderId="4" xfId="0" applyNumberFormat="1" applyFont="1" applyFill="1" applyBorder="1"/>
    <xf numFmtId="10" fontId="3" fillId="0" borderId="4" xfId="0" applyNumberFormat="1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0" fontId="0" fillId="2" borderId="20" xfId="0" applyNumberFormat="1" applyFill="1" applyBorder="1"/>
    <xf numFmtId="0" fontId="3" fillId="0" borderId="12" xfId="0" applyFont="1" applyBorder="1"/>
    <xf numFmtId="10" fontId="0" fillId="0" borderId="12" xfId="0" applyNumberFormat="1" applyBorder="1"/>
    <xf numFmtId="0" fontId="3" fillId="0" borderId="4" xfId="0" applyFont="1" applyBorder="1" applyAlignment="1">
      <alignment wrapText="1"/>
    </xf>
    <xf numFmtId="10" fontId="0" fillId="0" borderId="4" xfId="0" applyNumberFormat="1" applyBorder="1" applyAlignment="1">
      <alignment vertical="center"/>
    </xf>
    <xf numFmtId="10" fontId="0" fillId="2" borderId="4" xfId="0" applyNumberFormat="1" applyFill="1" applyBorder="1"/>
    <xf numFmtId="0" fontId="3" fillId="0" borderId="6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/>
    </xf>
    <xf numFmtId="10" fontId="0" fillId="0" borderId="67" xfId="0" applyNumberFormat="1" applyBorder="1"/>
    <xf numFmtId="10" fontId="3" fillId="0" borderId="67" xfId="0" applyNumberFormat="1" applyFont="1" applyBorder="1"/>
    <xf numFmtId="0" fontId="4" fillId="2" borderId="70" xfId="0" applyFont="1" applyFill="1" applyBorder="1" applyAlignment="1">
      <alignment horizontal="center"/>
    </xf>
    <xf numFmtId="10" fontId="4" fillId="2" borderId="67" xfId="0" applyNumberFormat="1" applyFont="1" applyFill="1" applyBorder="1"/>
    <xf numFmtId="10" fontId="3" fillId="0" borderId="67" xfId="0" applyNumberFormat="1" applyFont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10" fontId="0" fillId="2" borderId="75" xfId="0" applyNumberFormat="1" applyFill="1" applyBorder="1"/>
    <xf numFmtId="0" fontId="3" fillId="0" borderId="76" xfId="0" applyFont="1" applyBorder="1" applyAlignment="1">
      <alignment horizontal="center"/>
    </xf>
    <xf numFmtId="10" fontId="0" fillId="0" borderId="73" xfId="0" applyNumberFormat="1" applyBorder="1"/>
    <xf numFmtId="10" fontId="0" fillId="0" borderId="67" xfId="0" applyNumberFormat="1" applyBorder="1" applyAlignment="1">
      <alignment vertical="center"/>
    </xf>
    <xf numFmtId="10" fontId="0" fillId="2" borderId="67" xfId="0" applyNumberFormat="1" applyFill="1" applyBorder="1"/>
    <xf numFmtId="10" fontId="0" fillId="12" borderId="78" xfId="0" applyNumberFormat="1" applyFill="1" applyBorder="1"/>
    <xf numFmtId="10" fontId="0" fillId="12" borderId="79" xfId="0" applyNumberFormat="1" applyFill="1" applyBorder="1"/>
    <xf numFmtId="170" fontId="0" fillId="0" borderId="0" xfId="0" applyNumberFormat="1"/>
    <xf numFmtId="10" fontId="13" fillId="7" borderId="32" xfId="0" applyNumberFormat="1" applyFont="1" applyFill="1" applyBorder="1" applyAlignment="1">
      <alignment horizontal="center" vertical="center"/>
    </xf>
    <xf numFmtId="10" fontId="13" fillId="7" borderId="33" xfId="0" applyNumberFormat="1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vertical="center"/>
    </xf>
    <xf numFmtId="0" fontId="13" fillId="5" borderId="36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/>
    </xf>
    <xf numFmtId="10" fontId="13" fillId="9" borderId="49" xfId="0" applyNumberFormat="1" applyFont="1" applyFill="1" applyBorder="1" applyAlignment="1">
      <alignment horizontal="center" vertical="center"/>
    </xf>
    <xf numFmtId="10" fontId="13" fillId="9" borderId="50" xfId="0" applyNumberFormat="1" applyFont="1" applyFill="1" applyBorder="1" applyAlignment="1">
      <alignment horizontal="center" vertical="center"/>
    </xf>
    <xf numFmtId="166" fontId="14" fillId="9" borderId="2" xfId="0" applyNumberFormat="1" applyFont="1" applyFill="1" applyBorder="1" applyAlignment="1">
      <alignment horizontal="center" vertical="center"/>
    </xf>
    <xf numFmtId="166" fontId="13" fillId="7" borderId="0" xfId="0" applyNumberFormat="1" applyFont="1" applyFill="1" applyAlignment="1">
      <alignment vertical="center"/>
    </xf>
    <xf numFmtId="0" fontId="11" fillId="0" borderId="71" xfId="13" applyFont="1" applyBorder="1" applyAlignment="1">
      <alignment horizontal="left" vertical="center"/>
    </xf>
    <xf numFmtId="0" fontId="11" fillId="0" borderId="64" xfId="13" applyFont="1" applyBorder="1" applyAlignment="1">
      <alignment horizontal="left" vertical="center"/>
    </xf>
    <xf numFmtId="0" fontId="11" fillId="0" borderId="72" xfId="13" applyFont="1" applyBorder="1" applyAlignment="1">
      <alignment horizontal="left" vertical="center"/>
    </xf>
    <xf numFmtId="0" fontId="0" fillId="0" borderId="0" xfId="0" applyAlignment="1">
      <alignment horizontal="center"/>
    </xf>
    <xf numFmtId="10" fontId="3" fillId="3" borderId="0" xfId="0" applyNumberFormat="1" applyFont="1" applyFill="1" applyAlignment="1">
      <alignment horizontal="center" vertical="center"/>
    </xf>
    <xf numFmtId="2" fontId="11" fillId="0" borderId="0" xfId="13" applyNumberFormat="1" applyFont="1" applyAlignment="1">
      <alignment vertical="center"/>
    </xf>
    <xf numFmtId="2" fontId="12" fillId="0" borderId="0" xfId="8" applyNumberFormat="1" applyFont="1" applyFill="1" applyBorder="1" applyAlignment="1" applyProtection="1">
      <alignment horizontal="center" vertical="center"/>
    </xf>
    <xf numFmtId="2" fontId="11" fillId="0" borderId="0" xfId="13" applyNumberFormat="1" applyFont="1" applyAlignment="1">
      <alignment horizontal="center" vertical="center"/>
    </xf>
    <xf numFmtId="2" fontId="12" fillId="0" borderId="0" xfId="8" applyNumberFormat="1" applyFont="1" applyFill="1" applyBorder="1" applyAlignment="1" applyProtection="1">
      <alignment horizontal="right" vertical="center"/>
    </xf>
    <xf numFmtId="0" fontId="13" fillId="7" borderId="40" xfId="0" applyFont="1" applyFill="1" applyBorder="1" applyAlignment="1">
      <alignment vertical="center"/>
    </xf>
    <xf numFmtId="166" fontId="13" fillId="7" borderId="41" xfId="0" applyNumberFormat="1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0" fontId="14" fillId="8" borderId="16" xfId="0" applyFont="1" applyFill="1" applyBorder="1" applyAlignment="1">
      <alignment horizontal="center" vertical="center"/>
    </xf>
    <xf numFmtId="166" fontId="14" fillId="10" borderId="2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4" fillId="7" borderId="59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168" fontId="3" fillId="0" borderId="1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6" fillId="4" borderId="4" xfId="12" applyNumberFormat="1" applyFont="1" applyFill="1" applyBorder="1" applyAlignment="1">
      <alignment horizontal="left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3" fillId="5" borderId="93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6" fillId="3" borderId="13" xfId="12" applyFont="1" applyFill="1" applyBorder="1" applyAlignment="1">
      <alignment horizontal="left" vertical="center"/>
    </xf>
    <xf numFmtId="0" fontId="6" fillId="3" borderId="13" xfId="12" applyFont="1" applyFill="1" applyBorder="1" applyAlignment="1">
      <alignment horizontal="left" vertical="center" wrapText="1"/>
    </xf>
    <xf numFmtId="0" fontId="11" fillId="0" borderId="13" xfId="13" applyFont="1" applyBorder="1" applyAlignment="1">
      <alignment horizontal="left" vertical="center"/>
    </xf>
    <xf numFmtId="0" fontId="11" fillId="0" borderId="14" xfId="13" applyFont="1" applyBorder="1" applyAlignment="1">
      <alignment horizontal="left" vertical="center"/>
    </xf>
    <xf numFmtId="0" fontId="11" fillId="0" borderId="15" xfId="13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6" fillId="3" borderId="0" xfId="12" applyNumberFormat="1" applyFont="1" applyFill="1" applyAlignment="1">
      <alignment vertical="center"/>
    </xf>
    <xf numFmtId="0" fontId="6" fillId="3" borderId="0" xfId="12" applyFont="1" applyFill="1" applyAlignment="1">
      <alignment vertical="center" wrapText="1"/>
    </xf>
    <xf numFmtId="165" fontId="6" fillId="3" borderId="0" xfId="12" applyNumberFormat="1" applyFont="1" applyFill="1" applyAlignment="1">
      <alignment vertical="center" wrapText="1"/>
    </xf>
    <xf numFmtId="169" fontId="6" fillId="3" borderId="0" xfId="0" applyNumberFormat="1" applyFont="1" applyFill="1" applyAlignment="1">
      <alignment vertical="center" wrapText="1"/>
    </xf>
    <xf numFmtId="0" fontId="6" fillId="4" borderId="4" xfId="1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4" fontId="3" fillId="0" borderId="4" xfId="1" applyNumberFormat="1" applyFont="1" applyFill="1" applyBorder="1" applyAlignment="1">
      <alignment horizontal="right" vertical="center" wrapText="1"/>
    </xf>
    <xf numFmtId="44" fontId="3" fillId="3" borderId="4" xfId="5" applyNumberFormat="1" applyFill="1" applyBorder="1" applyAlignment="1">
      <alignment horizontal="right" vertical="center" wrapText="1"/>
    </xf>
    <xf numFmtId="0" fontId="3" fillId="3" borderId="4" xfId="5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3" fillId="0" borderId="0" xfId="5" applyAlignment="1">
      <alignment horizontal="center" vertical="center"/>
    </xf>
    <xf numFmtId="0" fontId="4" fillId="0" borderId="0" xfId="5" applyFont="1" applyAlignment="1">
      <alignment horizontal="center"/>
    </xf>
    <xf numFmtId="8" fontId="4" fillId="0" borderId="0" xfId="5" applyNumberFormat="1" applyFont="1" applyAlignment="1">
      <alignment horizontal="center" vertical="center"/>
    </xf>
    <xf numFmtId="44" fontId="4" fillId="0" borderId="0" xfId="5" applyNumberFormat="1" applyFont="1" applyAlignment="1">
      <alignment horizontal="right"/>
    </xf>
    <xf numFmtId="0" fontId="3" fillId="4" borderId="4" xfId="5" applyFill="1" applyBorder="1" applyAlignment="1">
      <alignment horizontal="center" vertical="center"/>
    </xf>
    <xf numFmtId="44" fontId="4" fillId="4" borderId="4" xfId="5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2" fontId="15" fillId="0" borderId="8" xfId="0" applyNumberFormat="1" applyFont="1" applyBorder="1"/>
    <xf numFmtId="1" fontId="15" fillId="0" borderId="80" xfId="0" applyNumberFormat="1" applyFont="1" applyBorder="1" applyAlignment="1">
      <alignment horizontal="center"/>
    </xf>
    <xf numFmtId="0" fontId="15" fillId="0" borderId="22" xfId="0" applyFont="1" applyBorder="1"/>
    <xf numFmtId="0" fontId="15" fillId="0" borderId="23" xfId="0" applyFont="1" applyBorder="1"/>
    <xf numFmtId="10" fontId="15" fillId="0" borderId="97" xfId="8" applyNumberFormat="1" applyFont="1" applyFill="1" applyBorder="1" applyAlignment="1" applyProtection="1">
      <alignment horizontal="center"/>
    </xf>
    <xf numFmtId="1" fontId="15" fillId="0" borderId="82" xfId="0" applyNumberFormat="1" applyFont="1" applyBorder="1" applyAlignment="1">
      <alignment horizontal="center"/>
    </xf>
    <xf numFmtId="0" fontId="15" fillId="0" borderId="25" xfId="0" applyFont="1" applyBorder="1"/>
    <xf numFmtId="10" fontId="15" fillId="0" borderId="98" xfId="8" applyNumberFormat="1" applyFont="1" applyFill="1" applyBorder="1" applyAlignment="1" applyProtection="1">
      <alignment horizontal="center"/>
    </xf>
    <xf numFmtId="10" fontId="15" fillId="0" borderId="98" xfId="0" applyNumberFormat="1" applyFont="1" applyBorder="1" applyAlignment="1">
      <alignment horizontal="center"/>
    </xf>
    <xf numFmtId="1" fontId="15" fillId="0" borderId="84" xfId="0" applyNumberFormat="1" applyFont="1" applyBorder="1" applyAlignment="1">
      <alignment horizontal="center"/>
    </xf>
    <xf numFmtId="0" fontId="15" fillId="0" borderId="27" xfId="0" applyFont="1" applyBorder="1"/>
    <xf numFmtId="0" fontId="15" fillId="0" borderId="59" xfId="0" applyFont="1" applyBorder="1"/>
    <xf numFmtId="10" fontId="15" fillId="0" borderId="99" xfId="8" applyNumberFormat="1" applyFont="1" applyFill="1" applyBorder="1" applyAlignment="1" applyProtection="1">
      <alignment horizontal="center"/>
    </xf>
    <xf numFmtId="10" fontId="15" fillId="0" borderId="8" xfId="0" applyNumberFormat="1" applyFont="1" applyBorder="1"/>
    <xf numFmtId="0" fontId="15" fillId="0" borderId="80" xfId="0" applyFont="1" applyBorder="1" applyAlignment="1">
      <alignment horizontal="center"/>
    </xf>
    <xf numFmtId="10" fontId="15" fillId="0" borderId="81" xfId="8" applyNumberFormat="1" applyFont="1" applyFill="1" applyBorder="1" applyAlignment="1" applyProtection="1">
      <alignment horizontal="center"/>
    </xf>
    <xf numFmtId="0" fontId="15" fillId="0" borderId="82" xfId="0" applyFont="1" applyBorder="1" applyAlignment="1">
      <alignment horizontal="center"/>
    </xf>
    <xf numFmtId="10" fontId="15" fillId="0" borderId="83" xfId="8" applyNumberFormat="1" applyFont="1" applyFill="1" applyBorder="1" applyAlignment="1" applyProtection="1">
      <alignment horizontal="center"/>
    </xf>
    <xf numFmtId="0" fontId="15" fillId="0" borderId="84" xfId="0" applyFont="1" applyBorder="1" applyAlignment="1">
      <alignment horizontal="center"/>
    </xf>
    <xf numFmtId="10" fontId="15" fillId="0" borderId="85" xfId="8" applyNumberFormat="1" applyFont="1" applyFill="1" applyBorder="1" applyAlignment="1" applyProtection="1">
      <alignment horizontal="center"/>
    </xf>
    <xf numFmtId="0" fontId="15" fillId="0" borderId="7" xfId="0" applyFont="1" applyBorder="1"/>
    <xf numFmtId="10" fontId="6" fillId="0" borderId="86" xfId="8" applyNumberFormat="1" applyFont="1" applyFill="1" applyBorder="1" applyAlignment="1" applyProtection="1">
      <alignment horizontal="center"/>
    </xf>
    <xf numFmtId="10" fontId="6" fillId="0" borderId="86" xfId="0" applyNumberFormat="1" applyFont="1" applyBorder="1" applyAlignment="1">
      <alignment horizontal="center" vertical="center"/>
    </xf>
    <xf numFmtId="0" fontId="19" fillId="0" borderId="7" xfId="0" applyFont="1" applyBorder="1"/>
    <xf numFmtId="10" fontId="16" fillId="0" borderId="8" xfId="0" applyNumberFormat="1" applyFont="1" applyBorder="1" applyAlignment="1">
      <alignment horizontal="center"/>
    </xf>
    <xf numFmtId="0" fontId="16" fillId="0" borderId="7" xfId="0" applyFont="1" applyBorder="1"/>
    <xf numFmtId="0" fontId="19" fillId="0" borderId="8" xfId="0" applyFont="1" applyBorder="1"/>
    <xf numFmtId="0" fontId="3" fillId="0" borderId="0" xfId="0" applyFont="1" applyAlignment="1">
      <alignment horizontal="center" vertical="center" wrapText="1"/>
    </xf>
    <xf numFmtId="0" fontId="4" fillId="15" borderId="16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vertical="center" wrapText="1"/>
    </xf>
    <xf numFmtId="0" fontId="4" fillId="15" borderId="2" xfId="0" applyFont="1" applyFill="1" applyBorder="1" applyAlignment="1">
      <alignment vertical="center" wrapText="1"/>
    </xf>
    <xf numFmtId="164" fontId="3" fillId="0" borderId="12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72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5" xfId="5" applyFill="1" applyBorder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3" fillId="0" borderId="0" xfId="1" applyFont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164" fontId="3" fillId="3" borderId="12" xfId="1" applyFont="1" applyFill="1" applyBorder="1" applyAlignment="1">
      <alignment horizontal="center" vertical="center" wrapText="1"/>
    </xf>
    <xf numFmtId="168" fontId="3" fillId="0" borderId="90" xfId="1" applyNumberFormat="1" applyFont="1" applyFill="1" applyBorder="1" applyAlignment="1">
      <alignment horizontal="right" vertical="center" wrapText="1"/>
    </xf>
    <xf numFmtId="10" fontId="3" fillId="3" borderId="0" xfId="2" applyNumberFormat="1" applyFont="1" applyFill="1" applyBorder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4" fontId="4" fillId="4" borderId="4" xfId="12" applyNumberFormat="1" applyFont="1" applyFill="1" applyBorder="1" applyAlignment="1">
      <alignment horizontal="left" vertical="center" wrapText="1"/>
    </xf>
    <xf numFmtId="40" fontId="3" fillId="0" borderId="4" xfId="1" applyNumberFormat="1" applyFont="1" applyFill="1" applyBorder="1" applyAlignment="1">
      <alignment horizontal="center" vertical="center" wrapText="1"/>
    </xf>
    <xf numFmtId="168" fontId="3" fillId="0" borderId="4" xfId="21" applyNumberFormat="1" applyFont="1" applyFill="1" applyBorder="1" applyAlignment="1">
      <alignment horizontal="center" vertical="center"/>
    </xf>
    <xf numFmtId="168" fontId="3" fillId="0" borderId="12" xfId="1" applyNumberFormat="1" applyFont="1" applyFill="1" applyBorder="1" applyAlignment="1">
      <alignment horizontal="center" vertical="center" wrapText="1"/>
    </xf>
    <xf numFmtId="0" fontId="4" fillId="0" borderId="100" xfId="0" applyFont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57" xfId="0" applyFont="1" applyBorder="1" applyAlignment="1">
      <alignment horizontal="right" vertical="center"/>
    </xf>
    <xf numFmtId="0" fontId="4" fillId="3" borderId="14" xfId="5" applyFont="1" applyFill="1" applyBorder="1" applyAlignment="1">
      <alignment horizontal="left"/>
    </xf>
    <xf numFmtId="0" fontId="3" fillId="13" borderId="71" xfId="0" applyFont="1" applyFill="1" applyBorder="1" applyAlignment="1">
      <alignment horizontal="center" vertical="center" wrapText="1"/>
    </xf>
    <xf numFmtId="0" fontId="3" fillId="13" borderId="64" xfId="0" applyFont="1" applyFill="1" applyBorder="1" applyAlignment="1">
      <alignment horizontal="center" vertical="center" wrapText="1"/>
    </xf>
    <xf numFmtId="0" fontId="4" fillId="13" borderId="64" xfId="0" applyFont="1" applyFill="1" applyBorder="1" applyAlignment="1">
      <alignment horizontal="left" vertical="center" wrapText="1"/>
    </xf>
    <xf numFmtId="40" fontId="3" fillId="13" borderId="64" xfId="1" applyNumberFormat="1" applyFont="1" applyFill="1" applyBorder="1" applyAlignment="1">
      <alignment horizontal="center" vertical="center" wrapText="1"/>
    </xf>
    <xf numFmtId="168" fontId="3" fillId="13" borderId="64" xfId="21" applyNumberFormat="1" applyFont="1" applyFill="1" applyBorder="1" applyAlignment="1">
      <alignment horizontal="center" vertical="center"/>
    </xf>
    <xf numFmtId="168" fontId="3" fillId="13" borderId="64" xfId="1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40" fontId="3" fillId="0" borderId="20" xfId="1" applyNumberFormat="1" applyFont="1" applyFill="1" applyBorder="1" applyAlignment="1">
      <alignment horizontal="center" vertical="center" wrapText="1"/>
    </xf>
    <xf numFmtId="168" fontId="3" fillId="0" borderId="20" xfId="21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left" vertical="center" wrapText="1"/>
    </xf>
    <xf numFmtId="40" fontId="3" fillId="13" borderId="14" xfId="1" applyNumberFormat="1" applyFont="1" applyFill="1" applyBorder="1" applyAlignment="1">
      <alignment horizontal="center" vertical="center" wrapText="1"/>
    </xf>
    <xf numFmtId="168" fontId="3" fillId="13" borderId="14" xfId="21" applyNumberFormat="1" applyFont="1" applyFill="1" applyBorder="1" applyAlignment="1">
      <alignment horizontal="center" vertical="center"/>
    </xf>
    <xf numFmtId="168" fontId="3" fillId="13" borderId="14" xfId="1" applyNumberFormat="1" applyFont="1" applyFill="1" applyBorder="1" applyAlignment="1">
      <alignment horizontal="center" vertical="center" wrapText="1"/>
    </xf>
    <xf numFmtId="168" fontId="3" fillId="13" borderId="55" xfId="1" applyNumberFormat="1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17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1" fontId="4" fillId="0" borderId="92" xfId="0" applyNumberFormat="1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2" xfId="0" applyFont="1" applyBorder="1" applyAlignment="1">
      <alignment vertical="center" wrapText="1"/>
    </xf>
    <xf numFmtId="0" fontId="3" fillId="3" borderId="13" xfId="5" applyFill="1" applyBorder="1" applyAlignment="1">
      <alignment horizontal="left" wrapText="1"/>
    </xf>
    <xf numFmtId="0" fontId="3" fillId="3" borderId="13" xfId="5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8" fontId="3" fillId="0" borderId="95" xfId="1" applyNumberFormat="1" applyFont="1" applyFill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0" fontId="3" fillId="3" borderId="13" xfId="5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4" xfId="0" applyFont="1" applyBorder="1" applyAlignment="1">
      <alignment horizontal="center"/>
    </xf>
    <xf numFmtId="40" fontId="4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horizontal="center" vertical="center"/>
    </xf>
    <xf numFmtId="40" fontId="3" fillId="13" borderId="53" xfId="0" applyNumberFormat="1" applyFont="1" applyFill="1" applyBorder="1" applyAlignment="1">
      <alignment horizontal="center"/>
    </xf>
    <xf numFmtId="40" fontId="3" fillId="13" borderId="45" xfId="0" applyNumberFormat="1" applyFont="1" applyFill="1" applyBorder="1" applyAlignment="1">
      <alignment horizontal="center"/>
    </xf>
    <xf numFmtId="40" fontId="3" fillId="13" borderId="54" xfId="0" applyNumberFormat="1" applyFont="1" applyFill="1" applyBorder="1" applyAlignment="1">
      <alignment horizontal="center"/>
    </xf>
    <xf numFmtId="40" fontId="3" fillId="0" borderId="0" xfId="0" applyNumberFormat="1" applyFont="1" applyAlignment="1">
      <alignment horizontal="center"/>
    </xf>
    <xf numFmtId="0" fontId="4" fillId="4" borderId="4" xfId="5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169" fontId="3" fillId="0" borderId="0" xfId="0" applyNumberFormat="1" applyFont="1" applyAlignment="1">
      <alignment horizontal="left" vertical="top"/>
    </xf>
    <xf numFmtId="0" fontId="3" fillId="3" borderId="4" xfId="0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0" fontId="4" fillId="0" borderId="0" xfId="0" applyNumberFormat="1" applyFont="1" applyAlignment="1">
      <alignment vertical="center"/>
    </xf>
    <xf numFmtId="40" fontId="4" fillId="0" borderId="0" xfId="0" applyNumberFormat="1" applyFont="1" applyAlignment="1">
      <alignment wrapText="1"/>
    </xf>
    <xf numFmtId="40" fontId="4" fillId="0" borderId="0" xfId="0" applyNumberFormat="1" applyFont="1" applyAlignment="1">
      <alignment vertical="center" wrapText="1"/>
    </xf>
    <xf numFmtId="40" fontId="4" fillId="0" borderId="0" xfId="0" applyNumberFormat="1" applyFont="1" applyAlignment="1">
      <alignment horizontal="left" vertical="center"/>
    </xf>
    <xf numFmtId="40" fontId="4" fillId="0" borderId="0" xfId="0" applyNumberFormat="1" applyFont="1"/>
    <xf numFmtId="40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0" fontId="3" fillId="0" borderId="0" xfId="0" applyNumberFormat="1" applyFont="1"/>
    <xf numFmtId="40" fontId="3" fillId="0" borderId="0" xfId="0" applyNumberFormat="1" applyFont="1" applyAlignment="1">
      <alignment horizontal="left"/>
    </xf>
    <xf numFmtId="40" fontId="4" fillId="0" borderId="0" xfId="0" applyNumberFormat="1" applyFont="1" applyAlignment="1">
      <alignment horizontal="center"/>
    </xf>
    <xf numFmtId="40" fontId="3" fillId="0" borderId="0" xfId="0" applyNumberFormat="1" applyFont="1" applyAlignment="1">
      <alignment vertical="center" wrapText="1"/>
    </xf>
    <xf numFmtId="168" fontId="3" fillId="13" borderId="119" xfId="1" applyNumberFormat="1" applyFont="1" applyFill="1" applyBorder="1" applyAlignment="1">
      <alignment horizontal="center" vertical="center" wrapText="1"/>
    </xf>
    <xf numFmtId="169" fontId="4" fillId="4" borderId="4" xfId="0" applyNumberFormat="1" applyFont="1" applyFill="1" applyBorder="1" applyAlignment="1">
      <alignment horizontal="left" vertical="center" wrapText="1"/>
    </xf>
    <xf numFmtId="44" fontId="4" fillId="3" borderId="55" xfId="12" applyNumberFormat="1" applyFont="1" applyFill="1" applyBorder="1" applyAlignment="1">
      <alignment vertical="center" wrapText="1"/>
    </xf>
    <xf numFmtId="44" fontId="4" fillId="3" borderId="21" xfId="12" applyNumberFormat="1" applyFont="1" applyFill="1" applyBorder="1" applyAlignment="1">
      <alignment vertical="center" wrapText="1"/>
    </xf>
    <xf numFmtId="0" fontId="4" fillId="3" borderId="15" xfId="12" applyFont="1" applyFill="1" applyBorder="1" applyAlignment="1">
      <alignment vertical="center"/>
    </xf>
    <xf numFmtId="165" fontId="4" fillId="0" borderId="55" xfId="12" applyNumberFormat="1" applyFont="1" applyBorder="1" applyAlignment="1">
      <alignment vertical="center" wrapText="1"/>
    </xf>
    <xf numFmtId="165" fontId="4" fillId="0" borderId="21" xfId="12" applyNumberFormat="1" applyFont="1" applyBorder="1" applyAlignment="1">
      <alignment vertical="center" wrapText="1"/>
    </xf>
    <xf numFmtId="169" fontId="4" fillId="3" borderId="15" xfId="0" applyNumberFormat="1" applyFont="1" applyFill="1" applyBorder="1" applyAlignment="1">
      <alignment vertical="center" wrapText="1"/>
    </xf>
    <xf numFmtId="44" fontId="4" fillId="4" borderId="4" xfId="12" applyNumberFormat="1" applyFont="1" applyFill="1" applyBorder="1" applyAlignment="1">
      <alignment horizontal="left" vertical="center" wrapText="1"/>
    </xf>
    <xf numFmtId="40" fontId="6" fillId="3" borderId="4" xfId="12" applyNumberFormat="1" applyFont="1" applyFill="1" applyBorder="1" applyAlignment="1">
      <alignment horizontal="left"/>
    </xf>
    <xf numFmtId="40" fontId="15" fillId="3" borderId="4" xfId="12" applyNumberFormat="1" applyFont="1" applyFill="1" applyBorder="1" applyAlignment="1">
      <alignment horizontal="center"/>
    </xf>
    <xf numFmtId="40" fontId="6" fillId="3" borderId="4" xfId="12" applyNumberFormat="1" applyFont="1" applyFill="1" applyBorder="1" applyAlignment="1">
      <alignment horizontal="center"/>
    </xf>
    <xf numFmtId="0" fontId="24" fillId="0" borderId="4" xfId="0" applyFont="1" applyBorder="1"/>
    <xf numFmtId="40" fontId="15" fillId="3" borderId="4" xfId="12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0" fontId="6" fillId="3" borderId="4" xfId="3" applyNumberFormat="1" applyFont="1" applyFill="1" applyBorder="1" applyAlignment="1">
      <alignment horizontal="left"/>
    </xf>
    <xf numFmtId="40" fontId="15" fillId="3" borderId="4" xfId="3" applyNumberFormat="1" applyFont="1" applyFill="1" applyBorder="1" applyAlignment="1">
      <alignment horizontal="center"/>
    </xf>
    <xf numFmtId="40" fontId="15" fillId="3" borderId="4" xfId="3" applyNumberFormat="1" applyFont="1" applyFill="1" applyBorder="1"/>
    <xf numFmtId="0" fontId="24" fillId="0" borderId="4" xfId="0" applyFont="1" applyBorder="1" applyAlignment="1">
      <alignment horizontal="center"/>
    </xf>
    <xf numFmtId="40" fontId="15" fillId="3" borderId="0" xfId="3" applyNumberFormat="1" applyFont="1" applyFill="1"/>
    <xf numFmtId="40" fontId="15" fillId="3" borderId="0" xfId="3" applyNumberFormat="1" applyFont="1" applyFill="1" applyAlignment="1">
      <alignment horizontal="center"/>
    </xf>
    <xf numFmtId="2" fontId="3" fillId="0" borderId="4" xfId="1" applyNumberFormat="1" applyFont="1" applyFill="1" applyBorder="1" applyAlignment="1">
      <alignment horizontal="center" vertical="center" wrapText="1"/>
    </xf>
    <xf numFmtId="164" fontId="3" fillId="3" borderId="12" xfId="1" applyFont="1" applyFill="1" applyBorder="1" applyAlignment="1">
      <alignment vertical="center" wrapText="1"/>
    </xf>
    <xf numFmtId="40" fontId="15" fillId="3" borderId="4" xfId="3" applyNumberFormat="1" applyFont="1" applyFill="1" applyBorder="1" applyAlignment="1">
      <alignment horizontal="center" wrapText="1"/>
    </xf>
    <xf numFmtId="40" fontId="15" fillId="3" borderId="4" xfId="3" applyNumberFormat="1" applyFont="1" applyFill="1" applyBorder="1" applyAlignment="1">
      <alignment horizontal="center" vertical="center"/>
    </xf>
    <xf numFmtId="0" fontId="4" fillId="3" borderId="13" xfId="12" applyFont="1" applyFill="1" applyBorder="1" applyAlignment="1">
      <alignment vertical="center" wrapText="1"/>
    </xf>
    <xf numFmtId="0" fontId="4" fillId="3" borderId="14" xfId="12" applyFont="1" applyFill="1" applyBorder="1" applyAlignment="1">
      <alignment vertical="center" wrapText="1"/>
    </xf>
    <xf numFmtId="0" fontId="6" fillId="3" borderId="13" xfId="12" applyFont="1" applyFill="1" applyBorder="1" applyAlignment="1">
      <alignment vertical="center" wrapText="1"/>
    </xf>
    <xf numFmtId="7" fontId="6" fillId="0" borderId="14" xfId="2" applyNumberFormat="1" applyFont="1" applyBorder="1" applyAlignment="1">
      <alignment horizontal="left" vertical="center" wrapText="1"/>
    </xf>
    <xf numFmtId="40" fontId="15" fillId="3" borderId="4" xfId="12" applyNumberFormat="1" applyFont="1" applyFill="1" applyBorder="1" applyAlignment="1">
      <alignment horizontal="center" wrapText="1"/>
    </xf>
    <xf numFmtId="40" fontId="15" fillId="0" borderId="4" xfId="3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 wrapText="1"/>
    </xf>
    <xf numFmtId="0" fontId="3" fillId="3" borderId="4" xfId="5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168" fontId="3" fillId="0" borderId="19" xfId="1" applyNumberFormat="1" applyFont="1" applyFill="1" applyBorder="1" applyAlignment="1">
      <alignment horizontal="center" vertical="center" wrapText="1"/>
    </xf>
    <xf numFmtId="168" fontId="3" fillId="0" borderId="20" xfId="1" applyNumberFormat="1" applyFont="1" applyFill="1" applyBorder="1" applyAlignment="1">
      <alignment horizontal="right" vertical="center" wrapText="1"/>
    </xf>
    <xf numFmtId="168" fontId="3" fillId="13" borderId="15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4" fontId="3" fillId="3" borderId="20" xfId="0" applyNumberFormat="1" applyFont="1" applyFill="1" applyBorder="1" applyAlignment="1">
      <alignment vertical="center" wrapText="1"/>
    </xf>
    <xf numFmtId="164" fontId="3" fillId="0" borderId="4" xfId="1" applyFont="1" applyFill="1" applyBorder="1" applyAlignment="1">
      <alignment horizontal="center" vertical="center" wrapText="1"/>
    </xf>
    <xf numFmtId="40" fontId="15" fillId="3" borderId="4" xfId="12" applyNumberFormat="1" applyFont="1" applyFill="1" applyBorder="1" applyAlignment="1">
      <alignment horizontal="center" vertical="center" wrapText="1"/>
    </xf>
    <xf numFmtId="0" fontId="3" fillId="0" borderId="4" xfId="18" applyBorder="1" applyAlignment="1">
      <alignment vertical="center" wrapText="1"/>
    </xf>
    <xf numFmtId="4" fontId="4" fillId="0" borderId="0" xfId="0" applyNumberFormat="1" applyFont="1"/>
    <xf numFmtId="0" fontId="13" fillId="5" borderId="128" xfId="0" applyFont="1" applyFill="1" applyBorder="1" applyAlignment="1">
      <alignment vertical="center"/>
    </xf>
    <xf numFmtId="9" fontId="13" fillId="7" borderId="131" xfId="0" applyNumberFormat="1" applyFont="1" applyFill="1" applyBorder="1" applyAlignment="1">
      <alignment horizontal="center" vertical="center"/>
    </xf>
    <xf numFmtId="9" fontId="13" fillId="7" borderId="122" xfId="0" applyNumberFormat="1" applyFont="1" applyFill="1" applyBorder="1" applyAlignment="1">
      <alignment vertical="center"/>
    </xf>
    <xf numFmtId="0" fontId="13" fillId="6" borderId="13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10" fontId="3" fillId="14" borderId="1" xfId="2" applyNumberFormat="1" applyFont="1" applyFill="1" applyBorder="1" applyAlignment="1">
      <alignment vertical="center" wrapText="1"/>
    </xf>
    <xf numFmtId="0" fontId="4" fillId="4" borderId="4" xfId="12" applyFont="1" applyFill="1" applyBorder="1" applyAlignment="1">
      <alignment horizontal="left" vertical="center" wrapText="1"/>
    </xf>
    <xf numFmtId="0" fontId="6" fillId="0" borderId="0" xfId="0" applyFont="1"/>
    <xf numFmtId="0" fontId="15" fillId="0" borderId="0" xfId="0" applyFont="1"/>
    <xf numFmtId="0" fontId="19" fillId="0" borderId="0" xfId="0" applyFont="1"/>
    <xf numFmtId="0" fontId="4" fillId="4" borderId="4" xfId="5" applyFont="1" applyFill="1" applyBorder="1" applyAlignment="1">
      <alignment horizontal="center" vertical="center"/>
    </xf>
    <xf numFmtId="0" fontId="4" fillId="3" borderId="20" xfId="5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174" fontId="3" fillId="0" borderId="0" xfId="0" applyNumberFormat="1" applyFont="1"/>
    <xf numFmtId="0" fontId="6" fillId="4" borderId="4" xfId="12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6" fillId="4" borderId="0" xfId="12" applyFont="1" applyFill="1" applyAlignment="1">
      <alignment vertical="center"/>
    </xf>
    <xf numFmtId="0" fontId="6" fillId="3" borderId="0" xfId="12" applyFont="1" applyFill="1" applyAlignment="1">
      <alignment vertical="center"/>
    </xf>
    <xf numFmtId="14" fontId="6" fillId="3" borderId="0" xfId="12" applyNumberFormat="1" applyFont="1" applyFill="1" applyAlignment="1">
      <alignment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3" fillId="0" borderId="143" xfId="0" applyFont="1" applyBorder="1"/>
    <xf numFmtId="0" fontId="0" fillId="0" borderId="52" xfId="0" applyBorder="1" applyAlignment="1">
      <alignment horizontal="center"/>
    </xf>
    <xf numFmtId="0" fontId="0" fillId="0" borderId="52" xfId="0" applyBorder="1"/>
    <xf numFmtId="0" fontId="0" fillId="0" borderId="144" xfId="0" applyBorder="1"/>
    <xf numFmtId="0" fontId="4" fillId="3" borderId="7" xfId="0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2" fontId="3" fillId="3" borderId="8" xfId="0" applyNumberFormat="1" applyFont="1" applyFill="1" applyBorder="1"/>
    <xf numFmtId="0" fontId="3" fillId="3" borderId="80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10" fontId="3" fillId="3" borderId="81" xfId="8" applyNumberFormat="1" applyFont="1" applyFill="1" applyBorder="1" applyAlignment="1" applyProtection="1">
      <alignment horizontal="center"/>
    </xf>
    <xf numFmtId="0" fontId="3" fillId="3" borderId="82" xfId="0" applyFont="1" applyFill="1" applyBorder="1" applyAlignment="1">
      <alignment horizontal="center"/>
    </xf>
    <xf numFmtId="0" fontId="3" fillId="3" borderId="25" xfId="0" applyFont="1" applyFill="1" applyBorder="1"/>
    <xf numFmtId="10" fontId="3" fillId="3" borderId="83" xfId="8" applyNumberFormat="1" applyFont="1" applyFill="1" applyBorder="1" applyAlignment="1" applyProtection="1">
      <alignment horizontal="center"/>
    </xf>
    <xf numFmtId="0" fontId="3" fillId="3" borderId="26" xfId="0" applyFont="1" applyFill="1" applyBorder="1"/>
    <xf numFmtId="10" fontId="3" fillId="3" borderId="83" xfId="0" applyNumberFormat="1" applyFont="1" applyFill="1" applyBorder="1" applyAlignment="1">
      <alignment horizontal="center"/>
    </xf>
    <xf numFmtId="0" fontId="3" fillId="3" borderId="84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59" xfId="0" applyFont="1" applyFill="1" applyBorder="1"/>
    <xf numFmtId="0" fontId="3" fillId="3" borderId="60" xfId="0" applyFont="1" applyFill="1" applyBorder="1"/>
    <xf numFmtId="10" fontId="3" fillId="3" borderId="85" xfId="8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>
      <alignment horizontal="center"/>
    </xf>
    <xf numFmtId="10" fontId="3" fillId="3" borderId="8" xfId="0" applyNumberFormat="1" applyFont="1" applyFill="1" applyBorder="1"/>
    <xf numFmtId="0" fontId="3" fillId="0" borderId="16" xfId="0" applyFont="1" applyBorder="1"/>
    <xf numFmtId="0" fontId="3" fillId="0" borderId="3" xfId="0" applyFont="1" applyBorder="1"/>
    <xf numFmtId="10" fontId="4" fillId="0" borderId="145" xfId="8" applyNumberFormat="1" applyFont="1" applyFill="1" applyBorder="1" applyAlignment="1" applyProtection="1">
      <alignment horizontal="center"/>
    </xf>
    <xf numFmtId="10" fontId="4" fillId="0" borderId="81" xfId="0" applyNumberFormat="1" applyFont="1" applyBorder="1" applyAlignment="1">
      <alignment horizontal="center" vertical="center"/>
    </xf>
    <xf numFmtId="0" fontId="3" fillId="3" borderId="146" xfId="0" applyFont="1" applyFill="1" applyBorder="1"/>
    <xf numFmtId="0" fontId="3" fillId="3" borderId="147" xfId="0" applyFont="1" applyFill="1" applyBorder="1"/>
    <xf numFmtId="10" fontId="4" fillId="3" borderId="148" xfId="0" applyNumberFormat="1" applyFont="1" applyFill="1" applyBorder="1" applyAlignment="1">
      <alignment horizontal="center"/>
    </xf>
    <xf numFmtId="0" fontId="28" fillId="0" borderId="149" xfId="0" applyFont="1" applyBorder="1" applyAlignment="1">
      <alignment vertical="center"/>
    </xf>
    <xf numFmtId="0" fontId="0" fillId="0" borderId="8" xfId="0" applyBorder="1"/>
    <xf numFmtId="0" fontId="5" fillId="0" borderId="149" xfId="0" applyFont="1" applyBorder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9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49" xfId="0" applyFont="1" applyBorder="1" applyAlignment="1">
      <alignment vertical="center" wrapText="1"/>
    </xf>
    <xf numFmtId="0" fontId="0" fillId="3" borderId="0" xfId="0" applyFill="1"/>
    <xf numFmtId="165" fontId="4" fillId="0" borderId="150" xfId="12" applyNumberFormat="1" applyFont="1" applyBorder="1" applyAlignment="1">
      <alignment vertical="center" wrapText="1"/>
    </xf>
    <xf numFmtId="0" fontId="3" fillId="3" borderId="15" xfId="5" applyFill="1" applyBorder="1" applyAlignment="1">
      <alignment horizontal="center" vertical="center"/>
    </xf>
    <xf numFmtId="0" fontId="3" fillId="3" borderId="4" xfId="5" applyFill="1" applyBorder="1" applyAlignment="1">
      <alignment horizontal="center"/>
    </xf>
    <xf numFmtId="44" fontId="3" fillId="0" borderId="0" xfId="0" applyNumberFormat="1" applyFont="1"/>
    <xf numFmtId="9" fontId="3" fillId="0" borderId="0" xfId="2" applyFont="1"/>
    <xf numFmtId="0" fontId="3" fillId="0" borderId="4" xfId="0" applyFont="1" applyBorder="1" applyAlignment="1">
      <alignment horizontal="center" vertical="center"/>
    </xf>
    <xf numFmtId="40" fontId="15" fillId="0" borderId="4" xfId="3" applyNumberFormat="1" applyFont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40" fontId="29" fillId="3" borderId="4" xfId="1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40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74" fontId="3" fillId="0" borderId="0" xfId="0" applyNumberFormat="1" applyFont="1" applyFill="1"/>
    <xf numFmtId="2" fontId="3" fillId="0" borderId="4" xfId="0" applyNumberFormat="1" applyFont="1" applyBorder="1" applyAlignment="1">
      <alignment horizontal="center" vertical="center"/>
    </xf>
    <xf numFmtId="40" fontId="15" fillId="0" borderId="4" xfId="3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0" fontId="4" fillId="0" borderId="18" xfId="0" applyNumberFormat="1" applyFont="1" applyFill="1" applyBorder="1" applyAlignment="1">
      <alignment horizontal="left"/>
    </xf>
    <xf numFmtId="40" fontId="6" fillId="0" borderId="4" xfId="12" applyNumberFormat="1" applyFont="1" applyFill="1" applyBorder="1" applyAlignment="1">
      <alignment horizontal="left"/>
    </xf>
    <xf numFmtId="40" fontId="15" fillId="0" borderId="4" xfId="12" applyNumberFormat="1" applyFont="1" applyFill="1" applyBorder="1" applyAlignment="1">
      <alignment horizontal="center"/>
    </xf>
    <xf numFmtId="40" fontId="6" fillId="0" borderId="4" xfId="12" applyNumberFormat="1" applyFont="1" applyFill="1" applyBorder="1" applyAlignment="1">
      <alignment horizontal="center"/>
    </xf>
    <xf numFmtId="0" fontId="24" fillId="0" borderId="4" xfId="0" applyFont="1" applyFill="1" applyBorder="1"/>
    <xf numFmtId="40" fontId="15" fillId="0" borderId="4" xfId="12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0" fontId="15" fillId="0" borderId="4" xfId="0" applyNumberFormat="1" applyFont="1" applyFill="1" applyBorder="1" applyAlignment="1">
      <alignment horizontal="center"/>
    </xf>
    <xf numFmtId="8" fontId="3" fillId="3" borderId="4" xfId="5" applyNumberFormat="1" applyFill="1" applyBorder="1" applyAlignment="1">
      <alignment horizontal="center" vertical="center"/>
    </xf>
    <xf numFmtId="44" fontId="3" fillId="3" borderId="4" xfId="5" applyNumberForma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165" fontId="22" fillId="3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3" borderId="0" xfId="0" applyFill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82" xfId="0" applyFont="1" applyBorder="1" applyAlignment="1">
      <alignment vertical="center" wrapText="1"/>
    </xf>
    <xf numFmtId="0" fontId="19" fillId="0" borderId="58" xfId="0" applyFont="1" applyBorder="1" applyAlignment="1">
      <alignment vertical="center" wrapText="1"/>
    </xf>
    <xf numFmtId="0" fontId="19" fillId="0" borderId="83" xfId="0" applyFont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9" fillId="3" borderId="11" xfId="0" applyFont="1" applyFill="1" applyBorder="1" applyAlignment="1">
      <alignment vertical="center" wrapText="1"/>
    </xf>
    <xf numFmtId="0" fontId="11" fillId="0" borderId="13" xfId="13" applyFont="1" applyBorder="1" applyAlignment="1">
      <alignment horizontal="left" vertical="center"/>
    </xf>
    <xf numFmtId="0" fontId="11" fillId="0" borderId="14" xfId="13" applyFont="1" applyBorder="1" applyAlignment="1">
      <alignment horizontal="left" vertical="center"/>
    </xf>
    <xf numFmtId="0" fontId="11" fillId="0" borderId="15" xfId="13" applyFont="1" applyBorder="1" applyAlignment="1">
      <alignment horizontal="left" vertical="center"/>
    </xf>
    <xf numFmtId="0" fontId="4" fillId="4" borderId="4" xfId="12" applyFont="1" applyFill="1" applyBorder="1" applyAlignment="1">
      <alignment horizontal="left" vertical="center" wrapText="1"/>
    </xf>
    <xf numFmtId="169" fontId="4" fillId="4" borderId="13" xfId="0" applyNumberFormat="1" applyFont="1" applyFill="1" applyBorder="1" applyAlignment="1">
      <alignment horizontal="left" vertical="center" wrapText="1"/>
    </xf>
    <xf numFmtId="169" fontId="4" fillId="4" borderId="15" xfId="0" applyNumberFormat="1" applyFont="1" applyFill="1" applyBorder="1" applyAlignment="1">
      <alignment horizontal="left" vertical="center" wrapText="1"/>
    </xf>
    <xf numFmtId="169" fontId="4" fillId="3" borderId="4" xfId="0" applyNumberFormat="1" applyFont="1" applyFill="1" applyBorder="1" applyAlignment="1">
      <alignment horizontal="left" vertical="center" wrapText="1"/>
    </xf>
    <xf numFmtId="0" fontId="15" fillId="0" borderId="87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1" fillId="0" borderId="0" xfId="13" applyFont="1" applyAlignment="1">
      <alignment horizontal="left" vertical="center"/>
    </xf>
    <xf numFmtId="4" fontId="4" fillId="4" borderId="13" xfId="12" applyNumberFormat="1" applyFont="1" applyFill="1" applyBorder="1" applyAlignment="1">
      <alignment horizontal="left" vertical="center" wrapText="1"/>
    </xf>
    <xf numFmtId="4" fontId="4" fillId="4" borderId="15" xfId="12" applyNumberFormat="1" applyFont="1" applyFill="1" applyBorder="1" applyAlignment="1">
      <alignment horizontal="left" vertical="center" wrapText="1"/>
    </xf>
    <xf numFmtId="7" fontId="4" fillId="0" borderId="13" xfId="12" applyNumberFormat="1" applyFont="1" applyBorder="1" applyAlignment="1">
      <alignment horizontal="left" vertical="center"/>
    </xf>
    <xf numFmtId="10" fontId="4" fillId="0" borderId="15" xfId="12" applyNumberFormat="1" applyFont="1" applyBorder="1" applyAlignment="1">
      <alignment horizontal="left" vertical="center"/>
    </xf>
    <xf numFmtId="0" fontId="4" fillId="0" borderId="13" xfId="12" applyFont="1" applyBorder="1" applyAlignment="1">
      <alignment vertical="center"/>
    </xf>
    <xf numFmtId="0" fontId="4" fillId="0" borderId="15" xfId="12" applyFont="1" applyBorder="1" applyAlignment="1">
      <alignment vertical="center"/>
    </xf>
    <xf numFmtId="0" fontId="4" fillId="4" borderId="66" xfId="12" applyFont="1" applyFill="1" applyBorder="1" applyAlignment="1">
      <alignment horizontal="left" vertical="center" wrapText="1"/>
    </xf>
    <xf numFmtId="0" fontId="4" fillId="4" borderId="15" xfId="12" applyFont="1" applyFill="1" applyBorder="1" applyAlignment="1">
      <alignment horizontal="left" vertical="center" wrapText="1"/>
    </xf>
    <xf numFmtId="0" fontId="17" fillId="11" borderId="63" xfId="12" applyFont="1" applyFill="1" applyBorder="1" applyAlignment="1">
      <alignment horizontal="center" vertical="center"/>
    </xf>
    <xf numFmtId="0" fontId="17" fillId="11" borderId="64" xfId="12" applyFont="1" applyFill="1" applyBorder="1" applyAlignment="1">
      <alignment horizontal="center" vertical="center"/>
    </xf>
    <xf numFmtId="0" fontId="17" fillId="11" borderId="65" xfId="12" applyFont="1" applyFill="1" applyBorder="1" applyAlignment="1">
      <alignment horizontal="center" vertical="center"/>
    </xf>
    <xf numFmtId="10" fontId="4" fillId="0" borderId="13" xfId="12" applyNumberFormat="1" applyFont="1" applyBorder="1" applyAlignment="1">
      <alignment horizontal="left" vertical="center" wrapText="1"/>
    </xf>
    <xf numFmtId="0" fontId="4" fillId="0" borderId="14" xfId="12" applyFont="1" applyBorder="1" applyAlignment="1">
      <alignment horizontal="left" vertical="center" wrapText="1"/>
    </xf>
    <xf numFmtId="0" fontId="4" fillId="0" borderId="15" xfId="12" applyFont="1" applyBorder="1" applyAlignment="1">
      <alignment horizontal="left" vertical="center" wrapText="1"/>
    </xf>
    <xf numFmtId="0" fontId="4" fillId="0" borderId="13" xfId="12" applyFont="1" applyBorder="1" applyAlignment="1">
      <alignment horizontal="left" vertical="center" wrapText="1"/>
    </xf>
    <xf numFmtId="44" fontId="4" fillId="0" borderId="13" xfId="12" applyNumberFormat="1" applyFont="1" applyBorder="1" applyAlignment="1">
      <alignment horizontal="left" vertical="center"/>
    </xf>
    <xf numFmtId="0" fontId="4" fillId="0" borderId="14" xfId="12" applyFont="1" applyBorder="1" applyAlignment="1">
      <alignment horizontal="left" vertical="center"/>
    </xf>
    <xf numFmtId="0" fontId="4" fillId="0" borderId="15" xfId="12" applyFont="1" applyBorder="1" applyAlignment="1">
      <alignment horizontal="left" vertical="center"/>
    </xf>
    <xf numFmtId="0" fontId="4" fillId="4" borderId="13" xfId="12" applyFont="1" applyFill="1" applyBorder="1" applyAlignment="1">
      <alignment horizontal="left" vertical="center"/>
    </xf>
    <xf numFmtId="0" fontId="4" fillId="4" borderId="15" xfId="12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4" fillId="0" borderId="13" xfId="12" applyFont="1" applyBorder="1" applyAlignment="1">
      <alignment vertical="center" wrapText="1"/>
    </xf>
    <xf numFmtId="0" fontId="4" fillId="0" borderId="14" xfId="12" applyFont="1" applyBorder="1" applyAlignment="1">
      <alignment vertical="center" wrapText="1"/>
    </xf>
    <xf numFmtId="0" fontId="4" fillId="0" borderId="15" xfId="12" applyFont="1" applyBorder="1" applyAlignment="1">
      <alignment vertical="center" wrapText="1"/>
    </xf>
    <xf numFmtId="0" fontId="4" fillId="3" borderId="14" xfId="12" applyFont="1" applyFill="1" applyBorder="1" applyAlignment="1">
      <alignment vertical="center" wrapText="1"/>
    </xf>
    <xf numFmtId="0" fontId="4" fillId="3" borderId="15" xfId="12" applyFont="1" applyFill="1" applyBorder="1" applyAlignment="1">
      <alignment vertical="center" wrapText="1"/>
    </xf>
    <xf numFmtId="10" fontId="6" fillId="0" borderId="4" xfId="12" applyNumberFormat="1" applyFont="1" applyBorder="1" applyAlignment="1">
      <alignment horizontal="left" vertical="center" wrapText="1"/>
    </xf>
    <xf numFmtId="4" fontId="6" fillId="4" borderId="4" xfId="12" applyNumberFormat="1" applyFont="1" applyFill="1" applyBorder="1" applyAlignment="1">
      <alignment horizontal="center" vertical="center" wrapText="1"/>
    </xf>
    <xf numFmtId="14" fontId="6" fillId="3" borderId="4" xfId="12" applyNumberFormat="1" applyFont="1" applyFill="1" applyBorder="1" applyAlignment="1">
      <alignment horizontal="left" vertical="center" wrapText="1"/>
    </xf>
    <xf numFmtId="175" fontId="6" fillId="3" borderId="4" xfId="12" applyNumberFormat="1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6" fillId="3" borderId="13" xfId="12" applyFont="1" applyFill="1" applyBorder="1" applyAlignment="1">
      <alignment horizontal="left" vertical="center" wrapText="1"/>
    </xf>
    <xf numFmtId="0" fontId="6" fillId="3" borderId="14" xfId="12" applyFont="1" applyFill="1" applyBorder="1" applyAlignment="1">
      <alignment horizontal="left" vertical="center" wrapText="1"/>
    </xf>
    <xf numFmtId="0" fontId="6" fillId="3" borderId="15" xfId="12" applyFont="1" applyFill="1" applyBorder="1" applyAlignment="1">
      <alignment horizontal="left" vertical="center" wrapText="1"/>
    </xf>
    <xf numFmtId="0" fontId="6" fillId="4" borderId="13" xfId="12" applyFont="1" applyFill="1" applyBorder="1" applyAlignment="1">
      <alignment horizontal="center" vertical="center"/>
    </xf>
    <xf numFmtId="0" fontId="6" fillId="4" borderId="14" xfId="12" applyFont="1" applyFill="1" applyBorder="1" applyAlignment="1">
      <alignment horizontal="center" vertical="center"/>
    </xf>
    <xf numFmtId="44" fontId="6" fillId="3" borderId="4" xfId="12" applyNumberFormat="1" applyFont="1" applyFill="1" applyBorder="1" applyAlignment="1">
      <alignment horizontal="left" vertical="center" wrapText="1"/>
    </xf>
    <xf numFmtId="0" fontId="6" fillId="3" borderId="4" xfId="12" applyFont="1" applyFill="1" applyBorder="1" applyAlignment="1">
      <alignment horizontal="left" vertical="center" wrapText="1"/>
    </xf>
    <xf numFmtId="0" fontId="6" fillId="3" borderId="13" xfId="12" applyFont="1" applyFill="1" applyBorder="1" applyAlignment="1">
      <alignment horizontal="left" vertical="center"/>
    </xf>
    <xf numFmtId="0" fontId="6" fillId="3" borderId="14" xfId="12" applyFont="1" applyFill="1" applyBorder="1" applyAlignment="1">
      <alignment horizontal="left" vertical="center"/>
    </xf>
    <xf numFmtId="0" fontId="6" fillId="3" borderId="15" xfId="12" applyFont="1" applyFill="1" applyBorder="1" applyAlignment="1">
      <alignment horizontal="left" vertical="center"/>
    </xf>
    <xf numFmtId="0" fontId="6" fillId="4" borderId="4" xfId="12" applyFont="1" applyFill="1" applyBorder="1" applyAlignment="1">
      <alignment horizontal="center" vertical="center" wrapText="1"/>
    </xf>
    <xf numFmtId="165" fontId="6" fillId="3" borderId="4" xfId="12" applyNumberFormat="1" applyFont="1" applyFill="1" applyBorder="1" applyAlignment="1">
      <alignment horizontal="left" vertical="center" wrapText="1"/>
    </xf>
    <xf numFmtId="10" fontId="6" fillId="0" borderId="4" xfId="8" applyNumberFormat="1" applyFont="1" applyBorder="1" applyAlignment="1">
      <alignment horizontal="left" vertical="center" wrapText="1"/>
    </xf>
    <xf numFmtId="169" fontId="6" fillId="4" borderId="13" xfId="0" applyNumberFormat="1" applyFont="1" applyFill="1" applyBorder="1" applyAlignment="1">
      <alignment horizontal="center" vertical="center" wrapText="1"/>
    </xf>
    <xf numFmtId="169" fontId="6" fillId="4" borderId="15" xfId="0" applyNumberFormat="1" applyFont="1" applyFill="1" applyBorder="1" applyAlignment="1">
      <alignment horizontal="center" vertical="center" wrapText="1"/>
    </xf>
    <xf numFmtId="165" fontId="6" fillId="3" borderId="13" xfId="12" applyNumberFormat="1" applyFont="1" applyFill="1" applyBorder="1" applyAlignment="1">
      <alignment horizontal="left" vertical="center" wrapText="1"/>
    </xf>
    <xf numFmtId="165" fontId="6" fillId="3" borderId="14" xfId="12" applyNumberFormat="1" applyFont="1" applyFill="1" applyBorder="1" applyAlignment="1">
      <alignment horizontal="left" vertical="center" wrapText="1"/>
    </xf>
    <xf numFmtId="165" fontId="6" fillId="3" borderId="15" xfId="12" applyNumberFormat="1" applyFont="1" applyFill="1" applyBorder="1" applyAlignment="1">
      <alignment horizontal="left" vertical="center" wrapText="1"/>
    </xf>
    <xf numFmtId="0" fontId="17" fillId="11" borderId="63" xfId="12" applyFont="1" applyFill="1" applyBorder="1" applyAlignment="1">
      <alignment horizontal="center"/>
    </xf>
    <xf numFmtId="0" fontId="27" fillId="11" borderId="64" xfId="12" applyFont="1" applyFill="1" applyBorder="1" applyAlignment="1">
      <alignment horizontal="center"/>
    </xf>
    <xf numFmtId="0" fontId="27" fillId="11" borderId="65" xfId="12" applyFont="1" applyFill="1" applyBorder="1" applyAlignment="1">
      <alignment horizontal="center"/>
    </xf>
    <xf numFmtId="0" fontId="28" fillId="0" borderId="1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1" fillId="0" borderId="71" xfId="13" applyFont="1" applyBorder="1" applyAlignment="1">
      <alignment horizontal="left" vertical="center"/>
    </xf>
    <xf numFmtId="0" fontId="11" fillId="0" borderId="64" xfId="13" applyFont="1" applyBorder="1" applyAlignment="1">
      <alignment horizontal="left" vertical="center"/>
    </xf>
    <xf numFmtId="0" fontId="11" fillId="0" borderId="72" xfId="13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14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4" borderId="20" xfId="12" applyFont="1" applyFill="1" applyBorder="1" applyAlignment="1">
      <alignment horizontal="left" vertical="center" wrapText="1"/>
    </xf>
    <xf numFmtId="0" fontId="6" fillId="4" borderId="12" xfId="12" applyFont="1" applyFill="1" applyBorder="1" applyAlignment="1">
      <alignment horizontal="left" vertical="center" wrapText="1"/>
    </xf>
    <xf numFmtId="10" fontId="6" fillId="3" borderId="13" xfId="12" applyNumberFormat="1" applyFont="1" applyFill="1" applyBorder="1" applyAlignment="1">
      <alignment horizontal="left" vertical="center" wrapText="1"/>
    </xf>
    <xf numFmtId="10" fontId="6" fillId="3" borderId="15" xfId="12" applyNumberFormat="1" applyFont="1" applyFill="1" applyBorder="1" applyAlignment="1">
      <alignment horizontal="left" vertical="center" wrapText="1"/>
    </xf>
    <xf numFmtId="0" fontId="4" fillId="12" borderId="77" xfId="0" applyFont="1" applyFill="1" applyBorder="1" applyAlignment="1">
      <alignment horizontal="center"/>
    </xf>
    <xf numFmtId="0" fontId="4" fillId="12" borderId="57" xfId="0" applyFont="1" applyFill="1" applyBorder="1" applyAlignment="1">
      <alignment horizontal="center"/>
    </xf>
    <xf numFmtId="0" fontId="4" fillId="12" borderId="63" xfId="0" applyFont="1" applyFill="1" applyBorder="1" applyAlignment="1">
      <alignment horizontal="center"/>
    </xf>
    <xf numFmtId="0" fontId="4" fillId="12" borderId="64" xfId="0" applyFont="1" applyFill="1" applyBorder="1" applyAlignment="1">
      <alignment horizontal="center"/>
    </xf>
    <xf numFmtId="0" fontId="4" fillId="12" borderId="65" xfId="0" applyFont="1" applyFill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3" borderId="4" xfId="0" applyFont="1" applyFill="1" applyBorder="1" applyAlignment="1">
      <alignment horizontal="center"/>
    </xf>
    <xf numFmtId="0" fontId="3" fillId="13" borderId="67" xfId="0" applyFont="1" applyFill="1" applyBorder="1" applyAlignment="1">
      <alignment horizontal="center"/>
    </xf>
    <xf numFmtId="0" fontId="4" fillId="12" borderId="70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67" xfId="0" applyFont="1" applyFill="1" applyBorder="1" applyAlignment="1">
      <alignment horizontal="center"/>
    </xf>
    <xf numFmtId="0" fontId="4" fillId="12" borderId="66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4" fillId="12" borderId="68" xfId="0" applyFont="1" applyFill="1" applyBorder="1" applyAlignment="1">
      <alignment horizontal="center"/>
    </xf>
    <xf numFmtId="0" fontId="6" fillId="3" borderId="56" xfId="12" applyFont="1" applyFill="1" applyBorder="1" applyAlignment="1">
      <alignment horizontal="left" vertical="center" wrapText="1"/>
    </xf>
    <xf numFmtId="0" fontId="6" fillId="3" borderId="17" xfId="12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169" fontId="6" fillId="4" borderId="13" xfId="0" applyNumberFormat="1" applyFont="1" applyFill="1" applyBorder="1" applyAlignment="1">
      <alignment horizontal="left" vertical="center" wrapText="1"/>
    </xf>
    <xf numFmtId="169" fontId="6" fillId="4" borderId="14" xfId="0" applyNumberFormat="1" applyFont="1" applyFill="1" applyBorder="1" applyAlignment="1">
      <alignment horizontal="left" vertical="center" wrapText="1"/>
    </xf>
    <xf numFmtId="169" fontId="6" fillId="3" borderId="13" xfId="0" applyNumberFormat="1" applyFont="1" applyFill="1" applyBorder="1" applyAlignment="1">
      <alignment horizontal="center" vertical="center" wrapText="1"/>
    </xf>
    <xf numFmtId="169" fontId="6" fillId="3" borderId="15" xfId="0" applyNumberFormat="1" applyFont="1" applyFill="1" applyBorder="1" applyAlignment="1">
      <alignment horizontal="center" vertical="center" wrapText="1"/>
    </xf>
    <xf numFmtId="44" fontId="6" fillId="3" borderId="56" xfId="12" applyNumberFormat="1" applyFont="1" applyFill="1" applyBorder="1" applyAlignment="1">
      <alignment horizontal="left" vertical="center" wrapText="1"/>
    </xf>
    <xf numFmtId="44" fontId="6" fillId="3" borderId="55" xfId="12" applyNumberFormat="1" applyFont="1" applyFill="1" applyBorder="1" applyAlignment="1">
      <alignment horizontal="left" vertical="center" wrapText="1"/>
    </xf>
    <xf numFmtId="0" fontId="6" fillId="4" borderId="4" xfId="12" applyFont="1" applyFill="1" applyBorder="1" applyAlignment="1">
      <alignment vertical="center" wrapText="1"/>
    </xf>
    <xf numFmtId="0" fontId="6" fillId="0" borderId="14" xfId="12" applyFont="1" applyBorder="1" applyAlignment="1">
      <alignment vertical="center" wrapText="1"/>
    </xf>
    <xf numFmtId="0" fontId="6" fillId="0" borderId="15" xfId="12" applyFont="1" applyBorder="1" applyAlignment="1">
      <alignment vertical="center" wrapText="1"/>
    </xf>
    <xf numFmtId="44" fontId="6" fillId="3" borderId="4" xfId="12" applyNumberFormat="1" applyFont="1" applyFill="1" applyBorder="1" applyAlignment="1">
      <alignment vertical="center" wrapText="1"/>
    </xf>
    <xf numFmtId="165" fontId="6" fillId="4" borderId="4" xfId="12" applyNumberFormat="1" applyFont="1" applyFill="1" applyBorder="1" applyAlignment="1">
      <alignment vertical="center" wrapText="1"/>
    </xf>
    <xf numFmtId="14" fontId="6" fillId="3" borderId="18" xfId="12" applyNumberFormat="1" applyFont="1" applyFill="1" applyBorder="1" applyAlignment="1">
      <alignment horizontal="left" vertical="center" wrapText="1"/>
    </xf>
    <xf numFmtId="14" fontId="6" fillId="3" borderId="21" xfId="12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7" borderId="112" xfId="0" applyFont="1" applyFill="1" applyBorder="1" applyAlignment="1">
      <alignment horizontal="center" vertical="center"/>
    </xf>
    <xf numFmtId="0" fontId="13" fillId="7" borderId="114" xfId="0" applyFont="1" applyFill="1" applyBorder="1" applyAlignment="1">
      <alignment horizontal="center" vertical="center"/>
    </xf>
    <xf numFmtId="0" fontId="13" fillId="7" borderId="115" xfId="0" applyFont="1" applyFill="1" applyBorder="1" applyAlignment="1">
      <alignment horizontal="center" vertical="center"/>
    </xf>
    <xf numFmtId="0" fontId="13" fillId="7" borderId="113" xfId="0" applyFont="1" applyFill="1" applyBorder="1" applyAlignment="1">
      <alignment horizontal="left" vertical="center" wrapText="1"/>
    </xf>
    <xf numFmtId="0" fontId="13" fillId="7" borderId="42" xfId="0" applyFont="1" applyFill="1" applyBorder="1" applyAlignment="1">
      <alignment horizontal="left" vertical="center" wrapText="1"/>
    </xf>
    <xf numFmtId="0" fontId="13" fillId="7" borderId="116" xfId="0" applyFont="1" applyFill="1" applyBorder="1" applyAlignment="1">
      <alignment horizontal="left" vertical="center" wrapText="1"/>
    </xf>
    <xf numFmtId="10" fontId="13" fillId="7" borderId="56" xfId="0" applyNumberFormat="1" applyFont="1" applyFill="1" applyBorder="1" applyAlignment="1">
      <alignment horizontal="center" vertical="center"/>
    </xf>
    <xf numFmtId="10" fontId="13" fillId="7" borderId="55" xfId="0" applyNumberFormat="1" applyFont="1" applyFill="1" applyBorder="1" applyAlignment="1">
      <alignment horizontal="center" vertical="center"/>
    </xf>
    <xf numFmtId="166" fontId="13" fillId="7" borderId="117" xfId="0" applyNumberFormat="1" applyFont="1" applyFill="1" applyBorder="1" applyAlignment="1">
      <alignment horizontal="center" vertical="center"/>
    </xf>
    <xf numFmtId="166" fontId="13" fillId="7" borderId="118" xfId="0" applyNumberFormat="1" applyFont="1" applyFill="1" applyBorder="1" applyAlignment="1">
      <alignment horizontal="center" vertical="center"/>
    </xf>
    <xf numFmtId="166" fontId="13" fillId="7" borderId="12" xfId="0" applyNumberFormat="1" applyFont="1" applyFill="1" applyBorder="1" applyAlignment="1">
      <alignment horizontal="center" vertical="center"/>
    </xf>
    <xf numFmtId="166" fontId="13" fillId="7" borderId="109" xfId="0" applyNumberFormat="1" applyFont="1" applyFill="1" applyBorder="1" applyAlignment="1">
      <alignment horizontal="center" vertical="center"/>
    </xf>
    <xf numFmtId="166" fontId="13" fillId="7" borderId="107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6" borderId="91" xfId="0" applyFont="1" applyFill="1" applyBorder="1" applyAlignment="1">
      <alignment horizontal="center" vertical="center"/>
    </xf>
    <xf numFmtId="0" fontId="14" fillId="6" borderId="110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4" fillId="6" borderId="111" xfId="0" applyFont="1" applyFill="1" applyBorder="1" applyAlignment="1">
      <alignment horizontal="center" vertical="center"/>
    </xf>
    <xf numFmtId="0" fontId="14" fillId="6" borderId="96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7" fontId="4" fillId="0" borderId="4" xfId="0" applyNumberFormat="1" applyFont="1" applyBorder="1" applyAlignment="1">
      <alignment horizontal="left" vertical="center"/>
    </xf>
    <xf numFmtId="4" fontId="6" fillId="4" borderId="13" xfId="12" applyNumberFormat="1" applyFont="1" applyFill="1" applyBorder="1" applyAlignment="1">
      <alignment horizontal="left" vertical="center" wrapText="1"/>
    </xf>
    <xf numFmtId="4" fontId="6" fillId="4" borderId="15" xfId="12" applyNumberFormat="1" applyFont="1" applyFill="1" applyBorder="1" applyAlignment="1">
      <alignment horizontal="left" vertical="center" wrapText="1"/>
    </xf>
    <xf numFmtId="4" fontId="6" fillId="4" borderId="20" xfId="12" applyNumberFormat="1" applyFont="1" applyFill="1" applyBorder="1" applyAlignment="1">
      <alignment horizontal="left" vertical="center" wrapText="1"/>
    </xf>
    <xf numFmtId="4" fontId="6" fillId="4" borderId="12" xfId="12" applyNumberFormat="1" applyFont="1" applyFill="1" applyBorder="1" applyAlignment="1">
      <alignment horizontal="left" vertical="center" wrapText="1"/>
    </xf>
    <xf numFmtId="166" fontId="13" fillId="10" borderId="50" xfId="0" applyNumberFormat="1" applyFont="1" applyFill="1" applyBorder="1" applyAlignment="1">
      <alignment horizontal="center" vertical="center"/>
    </xf>
    <xf numFmtId="166" fontId="13" fillId="10" borderId="51" xfId="0" applyNumberFormat="1" applyFont="1" applyFill="1" applyBorder="1" applyAlignment="1">
      <alignment horizontal="center" vertical="center"/>
    </xf>
    <xf numFmtId="9" fontId="13" fillId="7" borderId="46" xfId="2" applyFont="1" applyFill="1" applyBorder="1" applyAlignment="1" applyProtection="1">
      <alignment horizontal="center" vertical="center"/>
    </xf>
    <xf numFmtId="9" fontId="13" fillId="7" borderId="40" xfId="2" applyFont="1" applyFill="1" applyBorder="1" applyAlignment="1" applyProtection="1">
      <alignment horizontal="center" vertical="center"/>
    </xf>
    <xf numFmtId="166" fontId="13" fillId="7" borderId="124" xfId="0" applyNumberFormat="1" applyFont="1" applyFill="1" applyBorder="1" applyAlignment="1">
      <alignment horizontal="center" vertical="center"/>
    </xf>
    <xf numFmtId="166" fontId="13" fillId="7" borderId="26" xfId="0" applyNumberFormat="1" applyFont="1" applyFill="1" applyBorder="1" applyAlignment="1">
      <alignment horizontal="center" vertical="center"/>
    </xf>
    <xf numFmtId="166" fontId="13" fillId="7" borderId="125" xfId="0" applyNumberFormat="1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93" xfId="0" applyFont="1" applyFill="1" applyBorder="1" applyAlignment="1">
      <alignment vertical="center"/>
    </xf>
    <xf numFmtId="0" fontId="13" fillId="5" borderId="128" xfId="0" applyFont="1" applyFill="1" applyBorder="1" applyAlignment="1">
      <alignment vertical="center"/>
    </xf>
    <xf numFmtId="9" fontId="13" fillId="7" borderId="105" xfId="0" applyNumberFormat="1" applyFont="1" applyFill="1" applyBorder="1" applyAlignment="1">
      <alignment horizontal="center" vertical="center"/>
    </xf>
    <xf numFmtId="166" fontId="13" fillId="7" borderId="48" xfId="0" applyNumberFormat="1" applyFont="1" applyFill="1" applyBorder="1" applyAlignment="1">
      <alignment horizontal="center" vertical="center"/>
    </xf>
    <xf numFmtId="9" fontId="13" fillId="7" borderId="126" xfId="0" applyNumberFormat="1" applyFont="1" applyFill="1" applyBorder="1" applyAlignment="1">
      <alignment horizontal="center" vertical="center"/>
    </xf>
    <xf numFmtId="9" fontId="13" fillId="7" borderId="127" xfId="0" applyNumberFormat="1" applyFont="1" applyFill="1" applyBorder="1" applyAlignment="1">
      <alignment horizontal="center" vertical="center"/>
    </xf>
    <xf numFmtId="166" fontId="13" fillId="7" borderId="129" xfId="0" applyNumberFormat="1" applyFont="1" applyFill="1" applyBorder="1" applyAlignment="1">
      <alignment horizontal="center" vertical="center"/>
    </xf>
    <xf numFmtId="166" fontId="13" fillId="7" borderId="130" xfId="0" applyNumberFormat="1" applyFont="1" applyFill="1" applyBorder="1" applyAlignment="1">
      <alignment horizontal="center" vertical="center"/>
    </xf>
    <xf numFmtId="166" fontId="13" fillId="7" borderId="4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left" vertical="center"/>
    </xf>
    <xf numFmtId="166" fontId="13" fillId="7" borderId="137" xfId="0" applyNumberFormat="1" applyFont="1" applyFill="1" applyBorder="1" applyAlignment="1">
      <alignment horizontal="center" vertical="center"/>
    </xf>
    <xf numFmtId="166" fontId="13" fillId="7" borderId="138" xfId="0" applyNumberFormat="1" applyFont="1" applyFill="1" applyBorder="1" applyAlignment="1">
      <alignment horizontal="center" vertical="center"/>
    </xf>
    <xf numFmtId="166" fontId="13" fillId="7" borderId="139" xfId="0" applyNumberFormat="1" applyFont="1" applyFill="1" applyBorder="1" applyAlignment="1">
      <alignment horizontal="center" vertical="center"/>
    </xf>
    <xf numFmtId="166" fontId="13" fillId="7" borderId="136" xfId="0" applyNumberFormat="1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166" fontId="13" fillId="7" borderId="134" xfId="0" applyNumberFormat="1" applyFont="1" applyFill="1" applyBorder="1" applyAlignment="1">
      <alignment horizontal="center" vertical="center"/>
    </xf>
    <xf numFmtId="166" fontId="13" fillId="7" borderId="135" xfId="0" applyNumberFormat="1" applyFont="1" applyFill="1" applyBorder="1" applyAlignment="1">
      <alignment horizontal="center" vertical="center"/>
    </xf>
    <xf numFmtId="166" fontId="13" fillId="7" borderId="141" xfId="0" applyNumberFormat="1" applyFont="1" applyFill="1" applyBorder="1" applyAlignment="1">
      <alignment horizontal="center" vertical="center"/>
    </xf>
    <xf numFmtId="166" fontId="13" fillId="7" borderId="142" xfId="0" applyNumberFormat="1" applyFont="1" applyFill="1" applyBorder="1" applyAlignment="1">
      <alignment horizontal="center" vertical="center"/>
    </xf>
    <xf numFmtId="166" fontId="13" fillId="7" borderId="106" xfId="0" applyNumberFormat="1" applyFont="1" applyFill="1" applyBorder="1" applyAlignment="1">
      <alignment horizontal="center" vertical="center"/>
    </xf>
    <xf numFmtId="0" fontId="13" fillId="5" borderId="102" xfId="0" applyFont="1" applyFill="1" applyBorder="1" applyAlignment="1">
      <alignment horizontal="center" vertical="center"/>
    </xf>
    <xf numFmtId="0" fontId="13" fillId="5" borderId="103" xfId="0" applyFont="1" applyFill="1" applyBorder="1" applyAlignment="1">
      <alignment horizontal="center" vertical="center"/>
    </xf>
    <xf numFmtId="166" fontId="13" fillId="7" borderId="123" xfId="0" applyNumberFormat="1" applyFont="1" applyFill="1" applyBorder="1" applyAlignment="1">
      <alignment horizontal="center" vertical="center"/>
    </xf>
    <xf numFmtId="171" fontId="4" fillId="0" borderId="13" xfId="0" applyNumberFormat="1" applyFont="1" applyBorder="1" applyAlignment="1">
      <alignment horizontal="left" vertical="center"/>
    </xf>
    <xf numFmtId="171" fontId="4" fillId="0" borderId="14" xfId="0" applyNumberFormat="1" applyFont="1" applyBorder="1" applyAlignment="1">
      <alignment horizontal="left" vertical="center"/>
    </xf>
    <xf numFmtId="171" fontId="4" fillId="0" borderId="15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0" fontId="4" fillId="0" borderId="13" xfId="0" applyNumberFormat="1" applyFont="1" applyBorder="1" applyAlignment="1">
      <alignment horizontal="left" vertical="center" wrapText="1"/>
    </xf>
    <xf numFmtId="14" fontId="4" fillId="0" borderId="14" xfId="0" applyNumberFormat="1" applyFont="1" applyBorder="1" applyAlignment="1">
      <alignment horizontal="left" vertical="center" wrapText="1"/>
    </xf>
    <xf numFmtId="14" fontId="4" fillId="0" borderId="15" xfId="0" applyNumberFormat="1" applyFont="1" applyBorder="1" applyAlignment="1">
      <alignment horizontal="left" vertical="center" wrapText="1"/>
    </xf>
    <xf numFmtId="14" fontId="4" fillId="0" borderId="13" xfId="0" applyNumberFormat="1" applyFont="1" applyBorder="1" applyAlignment="1">
      <alignment horizontal="left" vertical="center" wrapText="1"/>
    </xf>
    <xf numFmtId="0" fontId="4" fillId="4" borderId="56" xfId="0" applyFont="1" applyFill="1" applyBorder="1" applyAlignment="1">
      <alignment vertical="center"/>
    </xf>
    <xf numFmtId="0" fontId="4" fillId="4" borderId="5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18" fillId="5" borderId="94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88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3" fillId="5" borderId="104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left" vertical="center"/>
    </xf>
    <xf numFmtId="0" fontId="13" fillId="7" borderId="122" xfId="0" applyFont="1" applyFill="1" applyBorder="1" applyAlignment="1">
      <alignment horizontal="left" vertical="center"/>
    </xf>
    <xf numFmtId="166" fontId="13" fillId="7" borderId="39" xfId="0" applyNumberFormat="1" applyFont="1" applyFill="1" applyBorder="1" applyAlignment="1">
      <alignment horizontal="center" vertical="center"/>
    </xf>
    <xf numFmtId="166" fontId="13" fillId="7" borderId="41" xfId="0" applyNumberFormat="1" applyFont="1" applyFill="1" applyBorder="1" applyAlignment="1">
      <alignment horizontal="center" vertical="center"/>
    </xf>
    <xf numFmtId="166" fontId="13" fillId="7" borderId="34" xfId="0" applyNumberFormat="1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left" vertical="center"/>
    </xf>
    <xf numFmtId="0" fontId="13" fillId="7" borderId="42" xfId="0" applyFont="1" applyFill="1" applyBorder="1" applyAlignment="1">
      <alignment horizontal="left" vertical="center"/>
    </xf>
    <xf numFmtId="166" fontId="13" fillId="7" borderId="132" xfId="0" applyNumberFormat="1" applyFont="1" applyFill="1" applyBorder="1" applyAlignment="1">
      <alignment horizontal="center" vertical="center"/>
    </xf>
    <xf numFmtId="0" fontId="4" fillId="4" borderId="13" xfId="5" applyFont="1" applyFill="1" applyBorder="1" applyAlignment="1">
      <alignment horizontal="center"/>
    </xf>
    <xf numFmtId="0" fontId="4" fillId="4" borderId="14" xfId="5" applyFont="1" applyFill="1" applyBorder="1" applyAlignment="1">
      <alignment horizontal="center"/>
    </xf>
    <xf numFmtId="0" fontId="4" fillId="4" borderId="15" xfId="5" applyFont="1" applyFill="1" applyBorder="1" applyAlignment="1">
      <alignment horizont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4" fillId="4" borderId="4" xfId="5" applyFont="1" applyFill="1" applyBorder="1" applyAlignment="1">
      <alignment horizontal="center"/>
    </xf>
    <xf numFmtId="0" fontId="3" fillId="3" borderId="13" xfId="5" applyFill="1" applyBorder="1" applyAlignment="1">
      <alignment horizontal="center" vertical="center" wrapText="1"/>
    </xf>
    <xf numFmtId="0" fontId="3" fillId="3" borderId="15" xfId="5" applyFill="1" applyBorder="1" applyAlignment="1">
      <alignment horizontal="center" vertical="center" wrapText="1"/>
    </xf>
    <xf numFmtId="0" fontId="3" fillId="3" borderId="13" xfId="5" applyFill="1" applyBorder="1" applyAlignment="1">
      <alignment horizontal="center" vertical="center"/>
    </xf>
    <xf numFmtId="0" fontId="3" fillId="3" borderId="15" xfId="5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4" borderId="4" xfId="12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1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4" fontId="4" fillId="4" borderId="4" xfId="12" applyNumberFormat="1" applyFont="1" applyFill="1" applyBorder="1" applyAlignment="1">
      <alignment horizontal="left" vertical="center"/>
    </xf>
    <xf numFmtId="44" fontId="4" fillId="0" borderId="4" xfId="0" applyNumberFormat="1" applyFont="1" applyBorder="1" applyAlignment="1">
      <alignment horizontal="left" vertical="center"/>
    </xf>
    <xf numFmtId="0" fontId="4" fillId="15" borderId="16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0" borderId="4" xfId="12" applyFont="1" applyBorder="1" applyAlignment="1">
      <alignment horizontal="left" vertical="center"/>
    </xf>
    <xf numFmtId="0" fontId="4" fillId="3" borderId="4" xfId="12" applyFont="1" applyFill="1" applyBorder="1" applyAlignment="1">
      <alignment vertical="center"/>
    </xf>
    <xf numFmtId="0" fontId="4" fillId="3" borderId="4" xfId="12" applyFont="1" applyFill="1" applyBorder="1" applyAlignment="1">
      <alignment horizontal="left" vertical="center" wrapText="1"/>
    </xf>
    <xf numFmtId="0" fontId="4" fillId="4" borderId="4" xfId="12" applyFont="1" applyFill="1" applyBorder="1" applyAlignment="1">
      <alignment horizontal="left" vertical="center"/>
    </xf>
    <xf numFmtId="169" fontId="4" fillId="4" borderId="4" xfId="0" applyNumberFormat="1" applyFont="1" applyFill="1" applyBorder="1" applyAlignment="1">
      <alignment horizontal="left" vertical="center" wrapText="1"/>
    </xf>
    <xf numFmtId="10" fontId="4" fillId="0" borderId="4" xfId="2" applyNumberFormat="1" applyFont="1" applyFill="1" applyBorder="1" applyAlignment="1">
      <alignment horizontal="left" vertical="center" wrapText="1"/>
    </xf>
    <xf numFmtId="4" fontId="4" fillId="4" borderId="20" xfId="12" applyNumberFormat="1" applyFont="1" applyFill="1" applyBorder="1" applyAlignment="1">
      <alignment horizontal="left" vertical="center" wrapText="1"/>
    </xf>
    <xf numFmtId="4" fontId="4" fillId="4" borderId="12" xfId="12" applyNumberFormat="1" applyFont="1" applyFill="1" applyBorder="1" applyAlignment="1">
      <alignment horizontal="left" vertical="center" wrapText="1"/>
    </xf>
    <xf numFmtId="7" fontId="4" fillId="0" borderId="56" xfId="2" applyNumberFormat="1" applyFont="1" applyFill="1" applyBorder="1" applyAlignment="1">
      <alignment horizontal="left" vertical="center" wrapText="1"/>
    </xf>
    <xf numFmtId="7" fontId="4" fillId="0" borderId="151" xfId="2" applyNumberFormat="1" applyFont="1" applyFill="1" applyBorder="1" applyAlignment="1">
      <alignment horizontal="left" vertical="center" wrapText="1"/>
    </xf>
    <xf numFmtId="7" fontId="4" fillId="0" borderId="55" xfId="2" applyNumberFormat="1" applyFont="1" applyFill="1" applyBorder="1" applyAlignment="1">
      <alignment horizontal="left" vertical="center" wrapText="1"/>
    </xf>
    <xf numFmtId="7" fontId="4" fillId="0" borderId="17" xfId="2" applyNumberFormat="1" applyFont="1" applyFill="1" applyBorder="1" applyAlignment="1">
      <alignment horizontal="left" vertical="center" wrapText="1"/>
    </xf>
    <xf numFmtId="7" fontId="4" fillId="0" borderId="18" xfId="2" applyNumberFormat="1" applyFont="1" applyFill="1" applyBorder="1" applyAlignment="1">
      <alignment horizontal="left" vertical="center" wrapText="1"/>
    </xf>
    <xf numFmtId="7" fontId="4" fillId="0" borderId="21" xfId="2" applyNumberFormat="1" applyFont="1" applyFill="1" applyBorder="1" applyAlignment="1">
      <alignment horizontal="left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9" xfId="0" applyFont="1" applyFill="1" applyBorder="1" applyAlignment="1">
      <alignment horizontal="center" vertical="center" wrapText="1"/>
    </xf>
    <xf numFmtId="173" fontId="4" fillId="0" borderId="4" xfId="12" applyNumberFormat="1" applyFont="1" applyBorder="1" applyAlignment="1">
      <alignment horizontal="left" vertical="center" wrapText="1"/>
    </xf>
    <xf numFmtId="169" fontId="4" fillId="3" borderId="4" xfId="0" applyNumberFormat="1" applyFont="1" applyFill="1" applyBorder="1" applyAlignment="1">
      <alignment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left" vertical="center" wrapText="1"/>
    </xf>
    <xf numFmtId="0" fontId="4" fillId="15" borderId="3" xfId="0" applyFont="1" applyFill="1" applyBorder="1" applyAlignment="1">
      <alignment horizontal="left" vertical="center" wrapText="1"/>
    </xf>
    <xf numFmtId="0" fontId="4" fillId="15" borderId="2" xfId="0" applyFont="1" applyFill="1" applyBorder="1" applyAlignment="1">
      <alignment horizontal="left" vertical="center" wrapText="1"/>
    </xf>
    <xf numFmtId="0" fontId="3" fillId="0" borderId="120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100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0" fontId="15" fillId="3" borderId="13" xfId="3" applyNumberFormat="1" applyFont="1" applyFill="1" applyBorder="1" applyAlignment="1">
      <alignment horizontal="center" vertical="center"/>
    </xf>
    <xf numFmtId="40" fontId="15" fillId="3" borderId="14" xfId="3" applyNumberFormat="1" applyFont="1" applyFill="1" applyBorder="1" applyAlignment="1">
      <alignment horizontal="center" vertical="center"/>
    </xf>
    <xf numFmtId="0" fontId="4" fillId="0" borderId="0" xfId="0" applyFont="1"/>
    <xf numFmtId="40" fontId="15" fillId="3" borderId="4" xfId="12" applyNumberFormat="1" applyFont="1" applyFill="1" applyBorder="1" applyAlignment="1">
      <alignment horizontal="center"/>
    </xf>
    <xf numFmtId="40" fontId="4" fillId="0" borderId="0" xfId="0" applyNumberFormat="1" applyFont="1" applyAlignment="1">
      <alignment horizontal="left" wrapText="1"/>
    </xf>
    <xf numFmtId="4" fontId="4" fillId="0" borderId="0" xfId="0" applyNumberFormat="1" applyFont="1"/>
    <xf numFmtId="40" fontId="4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center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center" wrapText="1"/>
    </xf>
    <xf numFmtId="10" fontId="4" fillId="0" borderId="4" xfId="12" applyNumberFormat="1" applyFont="1" applyBorder="1" applyAlignment="1">
      <alignment vertical="center"/>
    </xf>
    <xf numFmtId="44" fontId="4" fillId="0" borderId="4" xfId="12" applyNumberFormat="1" applyFont="1" applyBorder="1" applyAlignment="1">
      <alignment vertical="center" wrapText="1"/>
    </xf>
    <xf numFmtId="0" fontId="4" fillId="0" borderId="4" xfId="12" applyFont="1" applyBorder="1" applyAlignment="1">
      <alignment vertical="center" wrapText="1"/>
    </xf>
    <xf numFmtId="10" fontId="4" fillId="0" borderId="4" xfId="12" applyNumberFormat="1" applyFont="1" applyBorder="1" applyAlignment="1">
      <alignment horizontal="left" vertical="center"/>
    </xf>
    <xf numFmtId="169" fontId="4" fillId="0" borderId="4" xfId="0" applyNumberFormat="1" applyFont="1" applyBorder="1" applyAlignment="1">
      <alignment horizontal="left" vertical="center" wrapText="1"/>
    </xf>
    <xf numFmtId="14" fontId="4" fillId="0" borderId="4" xfId="12" applyNumberFormat="1" applyFont="1" applyBorder="1" applyAlignment="1">
      <alignment horizontal="left" vertical="center"/>
    </xf>
    <xf numFmtId="40" fontId="6" fillId="0" borderId="4" xfId="0" applyNumberFormat="1" applyFont="1" applyBorder="1" applyAlignment="1">
      <alignment horizontal="center"/>
    </xf>
    <xf numFmtId="40" fontId="4" fillId="0" borderId="0" xfId="0" applyNumberFormat="1" applyFont="1" applyAlignment="1">
      <alignment horizontal="center" vertical="center" wrapText="1"/>
    </xf>
    <xf numFmtId="40" fontId="4" fillId="0" borderId="0" xfId="0" applyNumberFormat="1" applyFont="1" applyAlignment="1">
      <alignment horizontal="center" wrapText="1"/>
    </xf>
    <xf numFmtId="0" fontId="4" fillId="4" borderId="4" xfId="12" applyFont="1" applyFill="1" applyBorder="1" applyAlignment="1">
      <alignment vertical="center" wrapText="1"/>
    </xf>
    <xf numFmtId="4" fontId="4" fillId="4" borderId="4" xfId="12" applyNumberFormat="1" applyFont="1" applyFill="1" applyBorder="1" applyAlignment="1">
      <alignment vertical="center" wrapText="1"/>
    </xf>
    <xf numFmtId="40" fontId="4" fillId="0" borderId="0" xfId="0" applyNumberFormat="1" applyFont="1" applyAlignment="1">
      <alignment horizontal="center" vertical="center"/>
    </xf>
    <xf numFmtId="7" fontId="4" fillId="0" borderId="4" xfId="12" applyNumberFormat="1" applyFont="1" applyBorder="1" applyAlignment="1">
      <alignment horizontal="left" vertical="center"/>
    </xf>
    <xf numFmtId="40" fontId="4" fillId="0" borderId="0" xfId="0" applyNumberFormat="1" applyFont="1" applyFill="1" applyAlignment="1">
      <alignment horizontal="left"/>
    </xf>
    <xf numFmtId="40" fontId="6" fillId="0" borderId="4" xfId="0" applyNumberFormat="1" applyFont="1" applyFill="1" applyBorder="1" applyAlignment="1">
      <alignment horizontal="center"/>
    </xf>
    <xf numFmtId="40" fontId="15" fillId="0" borderId="4" xfId="12" applyNumberFormat="1" applyFont="1" applyFill="1" applyBorder="1" applyAlignment="1">
      <alignment horizontal="center" vertical="center"/>
    </xf>
  </cellXfs>
  <cellStyles count="23">
    <cellStyle name="Comma" xfId="21" xr:uid="{00000000-0005-0000-0000-000000000000}"/>
    <cellStyle name="Moeda 2" xfId="4" xr:uid="{00000000-0005-0000-0000-000001000000}"/>
    <cellStyle name="Moeda 3" xfId="19" xr:uid="{00000000-0005-0000-0000-000002000000}"/>
    <cellStyle name="Moeda 6" xfId="16" xr:uid="{00000000-0005-0000-0000-000003000000}"/>
    <cellStyle name="Normal" xfId="0" builtinId="0"/>
    <cellStyle name="Normal 12" xfId="18" xr:uid="{00000000-0005-0000-0000-000005000000}"/>
    <cellStyle name="Normal 17" xfId="12" xr:uid="{00000000-0005-0000-0000-000006000000}"/>
    <cellStyle name="Normal 2" xfId="5" xr:uid="{00000000-0005-0000-0000-000007000000}"/>
    <cellStyle name="Normal 2 2 2" xfId="17" xr:uid="{00000000-0005-0000-0000-000008000000}"/>
    <cellStyle name="Normal 2 22" xfId="13" xr:uid="{00000000-0005-0000-0000-000009000000}"/>
    <cellStyle name="Normal 3" xfId="6" xr:uid="{00000000-0005-0000-0000-00000A000000}"/>
    <cellStyle name="Normal 4" xfId="7" xr:uid="{00000000-0005-0000-0000-00000B000000}"/>
    <cellStyle name="Normal 5" xfId="3" xr:uid="{00000000-0005-0000-0000-00000C000000}"/>
    <cellStyle name="Normal 6" xfId="15" xr:uid="{00000000-0005-0000-0000-00000D000000}"/>
    <cellStyle name="Porcentagem" xfId="2" builtinId="5"/>
    <cellStyle name="Porcentagem 2" xfId="8" xr:uid="{00000000-0005-0000-0000-00000F000000}"/>
    <cellStyle name="Porcentagem 3" xfId="9" xr:uid="{00000000-0005-0000-0000-000010000000}"/>
    <cellStyle name="Porcentagem 4" xfId="20" xr:uid="{00000000-0005-0000-0000-000011000000}"/>
    <cellStyle name="Separador de milhares 3" xfId="10" xr:uid="{00000000-0005-0000-0000-000012000000}"/>
    <cellStyle name="Vírgula" xfId="1" builtinId="3"/>
    <cellStyle name="Vírgula 2" xfId="11" xr:uid="{00000000-0005-0000-0000-000014000000}"/>
    <cellStyle name="Vírgula 4" xfId="14" xr:uid="{00000000-0005-0000-0000-000015000000}"/>
    <cellStyle name="Vírgula 5" xfId="22" xr:uid="{00000000-0005-0000-0000-000016000000}"/>
  </cellStyles>
  <dxfs count="25"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584948</xdr:colOff>
      <xdr:row>21</xdr:row>
      <xdr:rowOff>58831</xdr:rowOff>
    </xdr:from>
    <xdr:to>
      <xdr:col>6</xdr:col>
      <xdr:colOff>360829</xdr:colOff>
      <xdr:row>22</xdr:row>
      <xdr:rowOff>310402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948" y="5807449"/>
          <a:ext cx="4807322" cy="453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498102</xdr:colOff>
      <xdr:row>7</xdr:row>
      <xdr:rowOff>115935</xdr:rowOff>
    </xdr:from>
    <xdr:to>
      <xdr:col>18</xdr:col>
      <xdr:colOff>152820</xdr:colOff>
      <xdr:row>28</xdr:row>
      <xdr:rowOff>138953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897"/>
        <a:stretch>
          <a:fillRect/>
        </a:stretch>
      </xdr:blipFill>
      <xdr:spPr bwMode="auto">
        <a:xfrm>
          <a:off x="7344896" y="2928611"/>
          <a:ext cx="5100777" cy="4471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45719</xdr:colOff>
      <xdr:row>29</xdr:row>
      <xdr:rowOff>127589</xdr:rowOff>
    </xdr:from>
    <xdr:to>
      <xdr:col>18</xdr:col>
      <xdr:colOff>91440</xdr:colOff>
      <xdr:row>51</xdr:row>
      <xdr:rowOff>15240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" t="60139" r="-581" b="-1096"/>
        <a:stretch>
          <a:fillRect/>
        </a:stretch>
      </xdr:blipFill>
      <xdr:spPr bwMode="auto">
        <a:xfrm>
          <a:off x="7597139" y="7778069"/>
          <a:ext cx="4922521" cy="4398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512764</xdr:colOff>
      <xdr:row>72</xdr:row>
      <xdr:rowOff>114183</xdr:rowOff>
    </xdr:from>
    <xdr:to>
      <xdr:col>7</xdr:col>
      <xdr:colOff>423641</xdr:colOff>
      <xdr:row>83</xdr:row>
      <xdr:rowOff>169955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2364" y="15706608"/>
          <a:ext cx="4949602" cy="1836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112060</xdr:colOff>
      <xdr:row>0</xdr:row>
      <xdr:rowOff>1</xdr:rowOff>
    </xdr:from>
    <xdr:to>
      <xdr:col>1</xdr:col>
      <xdr:colOff>313764</xdr:colOff>
      <xdr:row>0</xdr:row>
      <xdr:rowOff>833075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9" r="16814"/>
        <a:stretch/>
      </xdr:blipFill>
      <xdr:spPr>
        <a:xfrm>
          <a:off x="112060" y="1"/>
          <a:ext cx="806822" cy="833074"/>
        </a:xfrm>
        <a:prstGeom prst="rect">
          <a:avLst/>
        </a:prstGeom>
      </xdr:spPr>
    </xdr:pic>
    <xdr:clientData/>
  </xdr:twoCellAnchor>
  <xdr:twoCellAnchor editAs="oneCell">
    <xdr:from>
      <xdr:col>7</xdr:col>
      <xdr:colOff>291353</xdr:colOff>
      <xdr:row>0</xdr:row>
      <xdr:rowOff>67235</xdr:rowOff>
    </xdr:from>
    <xdr:to>
      <xdr:col>8</xdr:col>
      <xdr:colOff>573262</xdr:colOff>
      <xdr:row>0</xdr:row>
      <xdr:rowOff>841140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27912" y="67235"/>
          <a:ext cx="887026" cy="773905"/>
        </a:xfrm>
        <a:prstGeom prst="rect">
          <a:avLst/>
        </a:prstGeom>
      </xdr:spPr>
    </xdr:pic>
    <xdr:clientData/>
  </xdr:twoCellAnchor>
  <xdr:twoCellAnchor editAs="oneCell">
    <xdr:from>
      <xdr:col>0</xdr:col>
      <xdr:colOff>584835</xdr:colOff>
      <xdr:row>49</xdr:row>
      <xdr:rowOff>89535</xdr:rowOff>
    </xdr:from>
    <xdr:to>
      <xdr:col>7</xdr:col>
      <xdr:colOff>425734</xdr:colOff>
      <xdr:row>72</xdr:row>
      <xdr:rowOff>62123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325" b="1"/>
        <a:stretch/>
      </xdr:blipFill>
      <xdr:spPr>
        <a:xfrm>
          <a:off x="584835" y="11957685"/>
          <a:ext cx="5489224" cy="3696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160731</xdr:colOff>
      <xdr:row>28</xdr:row>
      <xdr:rowOff>71815</xdr:rowOff>
    </xdr:from>
    <xdr:to>
      <xdr:col>5</xdr:col>
      <xdr:colOff>866022</xdr:colOff>
      <xdr:row>28</xdr:row>
      <xdr:rowOff>614922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256" y="7853740"/>
          <a:ext cx="4048566" cy="543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4</xdr:col>
      <xdr:colOff>219527</xdr:colOff>
      <xdr:row>49</xdr:row>
      <xdr:rowOff>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95" t="76747" r="7475" b="9131"/>
        <a:stretch>
          <a:fillRect/>
        </a:stretch>
      </xdr:blipFill>
      <xdr:spPr bwMode="auto">
        <a:xfrm>
          <a:off x="0" y="10696575"/>
          <a:ext cx="4133569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49</xdr:row>
      <xdr:rowOff>114300</xdr:rowOff>
    </xdr:from>
    <xdr:to>
      <xdr:col>6</xdr:col>
      <xdr:colOff>441118</xdr:colOff>
      <xdr:row>53</xdr:row>
      <xdr:rowOff>95171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2525375"/>
          <a:ext cx="5571429" cy="628571"/>
        </a:xfrm>
        <a:prstGeom prst="rect">
          <a:avLst/>
        </a:prstGeom>
      </xdr:spPr>
    </xdr:pic>
    <xdr:clientData/>
  </xdr:twoCellAnchor>
  <xdr:twoCellAnchor>
    <xdr:from>
      <xdr:col>2</xdr:col>
      <xdr:colOff>447675</xdr:colOff>
      <xdr:row>49</xdr:row>
      <xdr:rowOff>66676</xdr:rowOff>
    </xdr:from>
    <xdr:to>
      <xdr:col>4</xdr:col>
      <xdr:colOff>9525</xdr:colOff>
      <xdr:row>53</xdr:row>
      <xdr:rowOff>142875</xdr:rowOff>
    </xdr:to>
    <xdr:sp macro="" textlink="">
      <xdr:nvSpPr>
        <xdr:cNvPr id="6" name="Quadr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62225" y="11534776"/>
          <a:ext cx="1352550" cy="723899"/>
        </a:xfrm>
        <a:prstGeom prst="fram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200025</xdr:colOff>
      <xdr:row>40</xdr:row>
      <xdr:rowOff>133350</xdr:rowOff>
    </xdr:from>
    <xdr:to>
      <xdr:col>2</xdr:col>
      <xdr:colOff>428625</xdr:colOff>
      <xdr:row>49</xdr:row>
      <xdr:rowOff>95250</xdr:rowOff>
    </xdr:to>
    <xdr:sp macro="" textlink="">
      <xdr:nvSpPr>
        <xdr:cNvPr id="7" name="Quadr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76375" y="10144125"/>
          <a:ext cx="1066800" cy="1419225"/>
        </a:xfrm>
        <a:prstGeom prst="fram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153866</xdr:colOff>
      <xdr:row>0</xdr:row>
      <xdr:rowOff>80596</xdr:rowOff>
    </xdr:from>
    <xdr:to>
      <xdr:col>0</xdr:col>
      <xdr:colOff>960688</xdr:colOff>
      <xdr:row>0</xdr:row>
      <xdr:rowOff>913670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9" r="16814"/>
        <a:stretch/>
      </xdr:blipFill>
      <xdr:spPr>
        <a:xfrm>
          <a:off x="153866" y="80596"/>
          <a:ext cx="806822" cy="833074"/>
        </a:xfrm>
        <a:prstGeom prst="rect">
          <a:avLst/>
        </a:prstGeom>
      </xdr:spPr>
    </xdr:pic>
    <xdr:clientData/>
  </xdr:twoCellAnchor>
  <xdr:twoCellAnchor editAs="oneCell">
    <xdr:from>
      <xdr:col>7</xdr:col>
      <xdr:colOff>228858</xdr:colOff>
      <xdr:row>0</xdr:row>
      <xdr:rowOff>147830</xdr:rowOff>
    </xdr:from>
    <xdr:to>
      <xdr:col>8</xdr:col>
      <xdr:colOff>412501</xdr:colOff>
      <xdr:row>0</xdr:row>
      <xdr:rowOff>921735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58512" y="147830"/>
          <a:ext cx="887027" cy="773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210436</xdr:colOff>
      <xdr:row>0</xdr:row>
      <xdr:rowOff>1</xdr:rowOff>
    </xdr:from>
    <xdr:to>
      <xdr:col>0</xdr:col>
      <xdr:colOff>1052180</xdr:colOff>
      <xdr:row>0</xdr:row>
      <xdr:rowOff>869133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9" r="16814"/>
        <a:stretch/>
      </xdr:blipFill>
      <xdr:spPr>
        <a:xfrm>
          <a:off x="210436" y="1"/>
          <a:ext cx="841744" cy="869132"/>
        </a:xfrm>
        <a:prstGeom prst="rect">
          <a:avLst/>
        </a:prstGeom>
      </xdr:spPr>
    </xdr:pic>
    <xdr:clientData/>
  </xdr:twoCellAnchor>
  <xdr:twoCellAnchor editAs="oneCell">
    <xdr:from>
      <xdr:col>4</xdr:col>
      <xdr:colOff>542704</xdr:colOff>
      <xdr:row>0</xdr:row>
      <xdr:rowOff>55378</xdr:rowOff>
    </xdr:from>
    <xdr:to>
      <xdr:col>5</xdr:col>
      <xdr:colOff>565834</xdr:colOff>
      <xdr:row>0</xdr:row>
      <xdr:rowOff>829283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6657" y="55378"/>
          <a:ext cx="887026" cy="773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64938</xdr:colOff>
      <xdr:row>6</xdr:row>
      <xdr:rowOff>100853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9" r="16814"/>
        <a:stretch/>
      </xdr:blipFill>
      <xdr:spPr>
        <a:xfrm>
          <a:off x="171450" y="76200"/>
          <a:ext cx="1020160" cy="1053353"/>
        </a:xfrm>
        <a:prstGeom prst="rect">
          <a:avLst/>
        </a:prstGeom>
      </xdr:spPr>
    </xdr:pic>
    <xdr:clientData/>
  </xdr:twoCellAnchor>
  <xdr:twoCellAnchor editAs="oneCell">
    <xdr:from>
      <xdr:col>8</xdr:col>
      <xdr:colOff>805543</xdr:colOff>
      <xdr:row>0</xdr:row>
      <xdr:rowOff>111579</xdr:rowOff>
    </xdr:from>
    <xdr:to>
      <xdr:col>8</xdr:col>
      <xdr:colOff>1692569</xdr:colOff>
      <xdr:row>5</xdr:row>
      <xdr:rowOff>28234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23829" y="111579"/>
          <a:ext cx="887026" cy="733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0</xdr:rowOff>
    </xdr:from>
    <xdr:to>
      <xdr:col>0</xdr:col>
      <xdr:colOff>1016000</xdr:colOff>
      <xdr:row>0</xdr:row>
      <xdr:rowOff>863287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9" r="16814"/>
        <a:stretch/>
      </xdr:blipFill>
      <xdr:spPr>
        <a:xfrm>
          <a:off x="179917" y="0"/>
          <a:ext cx="836083" cy="863287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1428750</xdr:colOff>
      <xdr:row>0</xdr:row>
      <xdr:rowOff>28363</xdr:rowOff>
    </xdr:from>
    <xdr:to>
      <xdr:col>6</xdr:col>
      <xdr:colOff>845116</xdr:colOff>
      <xdr:row>0</xdr:row>
      <xdr:rowOff>802268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28363"/>
          <a:ext cx="887026" cy="77390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136234</xdr:rowOff>
    </xdr:to>
    <xdr:sp macro="" textlink="">
      <xdr:nvSpPr>
        <xdr:cNvPr id="7177" name="AutoShape 9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1567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136234</xdr:rowOff>
    </xdr:to>
    <xdr:sp macro="" textlink="">
      <xdr:nvSpPr>
        <xdr:cNvPr id="7178" name="AutoShape 10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1567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902614" y="7028295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902614" y="7028295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902614" y="12988636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902614" y="12988636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949325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949325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5" name="AutoShape 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894917" y="24468667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583"/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583"/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24" name="AutoShape 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25" name="AutoShape 1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26" name="AutoShape 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789349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28" name="AutoShape 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5957698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583"/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583"/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420907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19" name="AutoShape 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18589256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136233</xdr:rowOff>
    </xdr:to>
    <xdr:sp macro="" textlink="">
      <xdr:nvSpPr>
        <xdr:cNvPr id="29" name="AutoShape 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30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136233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30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31" name="AutoShape 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68" name="AutoShape 10">
          <a:extLst>
            <a:ext uri="{FF2B5EF4-FFF2-40B4-BE49-F238E27FC236}">
              <a16:creationId xmlns:a16="http://schemas.microsoft.com/office/drawing/2014/main" id="{00000000-0008-0000-04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69" name="AutoShape 9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70" name="AutoShape 10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71" name="AutoShape 9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72" name="AutoShape 10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00022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73" name="AutoShape 9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716786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583"/>
    <xdr:sp macro="" textlink="">
      <xdr:nvSpPr>
        <xdr:cNvPr id="7174" name="AutoShape 9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583"/>
    <xdr:sp macro="" textlink="">
      <xdr:nvSpPr>
        <xdr:cNvPr id="7175" name="AutoShape 10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76" name="AutoShape 9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79" name="AutoShape 10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80" name="AutoShape 9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81" name="AutoShape 10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82" name="AutoShape 9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292099"/>
    <xdr:sp macro="" textlink="">
      <xdr:nvSpPr>
        <xdr:cNvPr id="7183" name="AutoShape 10">
          <a:extLst>
            <a:ext uri="{FF2B5EF4-FFF2-40B4-BE49-F238E27FC236}">
              <a16:creationId xmlns:a16="http://schemas.microsoft.com/office/drawing/2014/main" id="{00000000-0008-0000-04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3413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304800" cy="292099"/>
    <xdr:sp macro="" textlink="">
      <xdr:nvSpPr>
        <xdr:cNvPr id="7184" name="AutoShape 9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50898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583"/>
    <xdr:sp macro="" textlink="">
      <xdr:nvSpPr>
        <xdr:cNvPr id="7185" name="AutoShape 9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583"/>
    <xdr:sp macro="" textlink="">
      <xdr:nvSpPr>
        <xdr:cNvPr id="7186" name="AutoShape 10"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187" name="AutoShape 9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188" name="AutoShape 10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189" name="AutoShape 9"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190" name="AutoShape 10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191" name="AutoShape 9"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192" name="AutoShape 10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92099"/>
    <xdr:sp macro="" textlink="">
      <xdr:nvSpPr>
        <xdr:cNvPr id="7193" name="AutoShape 9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6069419" y="20361349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304800" cy="303874"/>
    <xdr:sp macro="" textlink="">
      <xdr:nvSpPr>
        <xdr:cNvPr id="7194" name="AutoShape 9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30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03874"/>
    <xdr:sp macro="" textlink="">
      <xdr:nvSpPr>
        <xdr:cNvPr id="7195" name="AutoShape 10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30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196" name="AutoShape 9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197" name="AutoShape 10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198" name="AutoShape 9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199" name="AutoShape 10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0" name="AutoShape 9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1" name="AutoShape 10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2" name="AutoShape 9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04583"/>
    <xdr:sp macro="" textlink="">
      <xdr:nvSpPr>
        <xdr:cNvPr id="7203" name="AutoShape 9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04583"/>
    <xdr:sp macro="" textlink="">
      <xdr:nvSpPr>
        <xdr:cNvPr id="7204" name="AutoShape 10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5" name="AutoShape 9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6" name="AutoShape 10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7" name="AutoShape 9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8" name="AutoShape 10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09" name="AutoShape 9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0" name="AutoShape 10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1" name="AutoShape 9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04583"/>
    <xdr:sp macro="" textlink="">
      <xdr:nvSpPr>
        <xdr:cNvPr id="7212" name="AutoShape 9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04583"/>
    <xdr:sp macro="" textlink="">
      <xdr:nvSpPr>
        <xdr:cNvPr id="7213" name="AutoShape 10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4" name="AutoShape 9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5" name="AutoShape 10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6" name="AutoShape 9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7" name="AutoShape 10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8" name="AutoShape 9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19" name="AutoShape 10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292099"/>
    <xdr:sp macro="" textlink="">
      <xdr:nvSpPr>
        <xdr:cNvPr id="7220" name="AutoShape 9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811274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8158"/>
    <xdr:sp macro="" textlink="">
      <xdr:nvSpPr>
        <xdr:cNvPr id="85" name="AutoShape 9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8158"/>
    <xdr:sp macro="" textlink="">
      <xdr:nvSpPr>
        <xdr:cNvPr id="86" name="AutoShape 10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87" name="AutoShape 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88" name="AutoShape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89" name="AutoShape 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0" name="AutoShape 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1" name="AutoShape 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3" name="AutoShape 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304583"/>
    <xdr:sp macro="" textlink="">
      <xdr:nvSpPr>
        <xdr:cNvPr id="94" name="AutoShape 9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304583"/>
    <xdr:sp macro="" textlink="">
      <xdr:nvSpPr>
        <xdr:cNvPr id="95" name="AutoShape 10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6" name="AutoShape 9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7" name="AutoShape 10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8" name="AutoShape 9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292099"/>
    <xdr:sp macro="" textlink="">
      <xdr:nvSpPr>
        <xdr:cNvPr id="99" name="AutoShape 10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4315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292099"/>
    <xdr:sp macro="" textlink="">
      <xdr:nvSpPr>
        <xdr:cNvPr id="102" name="AutoShape 9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3593425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8158"/>
    <xdr:sp macro="" textlink="">
      <xdr:nvSpPr>
        <xdr:cNvPr id="103" name="AutoShape 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8158"/>
    <xdr:sp macro="" textlink="">
      <xdr:nvSpPr>
        <xdr:cNvPr id="104" name="AutoShape 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05" name="AutoShape 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06" name="AutoShape 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07" name="AutoShape 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08" name="AutoShape 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09" name="AutoShape 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10" name="AutoShape 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11" name="AutoShape 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304583"/>
    <xdr:sp macro="" textlink="">
      <xdr:nvSpPr>
        <xdr:cNvPr id="112" name="AutoShape 9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304583"/>
    <xdr:sp macro="" textlink="">
      <xdr:nvSpPr>
        <xdr:cNvPr id="113" name="AutoShape 10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14" name="AutoShape 9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15" name="AutoShape 10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16" name="AutoShape 9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292099"/>
    <xdr:sp macro="" textlink="">
      <xdr:nvSpPr>
        <xdr:cNvPr id="117" name="AutoShape 10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7269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292099"/>
    <xdr:sp macro="" textlink="">
      <xdr:nvSpPr>
        <xdr:cNvPr id="118" name="AutoShape 9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4888825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8158"/>
    <xdr:sp macro="" textlink="">
      <xdr:nvSpPr>
        <xdr:cNvPr id="119" name="AutoShape 9">
          <a:extLst>
            <a:ext uri="{FF2B5EF4-FFF2-40B4-BE49-F238E27FC236}">
              <a16:creationId xmlns:a16="http://schemas.microsoft.com/office/drawing/2014/main" id="{AC45D118-D6C1-4472-8A74-4F26A1CCE398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8158"/>
    <xdr:sp macro="" textlink="">
      <xdr:nvSpPr>
        <xdr:cNvPr id="120" name="AutoShape 10">
          <a:extLst>
            <a:ext uri="{FF2B5EF4-FFF2-40B4-BE49-F238E27FC236}">
              <a16:creationId xmlns:a16="http://schemas.microsoft.com/office/drawing/2014/main" id="{8CC1549F-5E38-42C4-A673-6BFD24DA3F31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21" name="AutoShape 9">
          <a:extLst>
            <a:ext uri="{FF2B5EF4-FFF2-40B4-BE49-F238E27FC236}">
              <a16:creationId xmlns:a16="http://schemas.microsoft.com/office/drawing/2014/main" id="{3C46392C-8EF1-4026-BF70-43CE18A5271F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22" name="AutoShape 10">
          <a:extLst>
            <a:ext uri="{FF2B5EF4-FFF2-40B4-BE49-F238E27FC236}">
              <a16:creationId xmlns:a16="http://schemas.microsoft.com/office/drawing/2014/main" id="{A913C071-417B-41BA-AAAD-F73EC41E10B2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23" name="AutoShape 9">
          <a:extLst>
            <a:ext uri="{FF2B5EF4-FFF2-40B4-BE49-F238E27FC236}">
              <a16:creationId xmlns:a16="http://schemas.microsoft.com/office/drawing/2014/main" id="{EC999014-9149-4162-BE43-5C4C2737CAEE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24" name="AutoShape 10">
          <a:extLst>
            <a:ext uri="{FF2B5EF4-FFF2-40B4-BE49-F238E27FC236}">
              <a16:creationId xmlns:a16="http://schemas.microsoft.com/office/drawing/2014/main" id="{A1A7283C-7189-4745-A2FD-51A69D5D54DC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25" name="AutoShape 9">
          <a:extLst>
            <a:ext uri="{FF2B5EF4-FFF2-40B4-BE49-F238E27FC236}">
              <a16:creationId xmlns:a16="http://schemas.microsoft.com/office/drawing/2014/main" id="{9F3F9871-D589-4804-B524-6FC9ED287D28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26" name="AutoShape 10">
          <a:extLst>
            <a:ext uri="{FF2B5EF4-FFF2-40B4-BE49-F238E27FC236}">
              <a16:creationId xmlns:a16="http://schemas.microsoft.com/office/drawing/2014/main" id="{F700B296-AD78-466A-8670-65CA6E95689B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27" name="AutoShape 9">
          <a:extLst>
            <a:ext uri="{FF2B5EF4-FFF2-40B4-BE49-F238E27FC236}">
              <a16:creationId xmlns:a16="http://schemas.microsoft.com/office/drawing/2014/main" id="{39D8DEB8-AAED-4641-8B64-74165BABAE23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304583"/>
    <xdr:sp macro="" textlink="">
      <xdr:nvSpPr>
        <xdr:cNvPr id="128" name="AutoShape 9">
          <a:extLst>
            <a:ext uri="{FF2B5EF4-FFF2-40B4-BE49-F238E27FC236}">
              <a16:creationId xmlns:a16="http://schemas.microsoft.com/office/drawing/2014/main" id="{227E4654-8D6E-4CAC-9886-7B9E1DD4D218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304583"/>
    <xdr:sp macro="" textlink="">
      <xdr:nvSpPr>
        <xdr:cNvPr id="129" name="AutoShape 10">
          <a:extLst>
            <a:ext uri="{FF2B5EF4-FFF2-40B4-BE49-F238E27FC236}">
              <a16:creationId xmlns:a16="http://schemas.microsoft.com/office/drawing/2014/main" id="{8ACDAF07-E4F8-4258-8341-C0A1D2DCA31A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30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30" name="AutoShape 9">
          <a:extLst>
            <a:ext uri="{FF2B5EF4-FFF2-40B4-BE49-F238E27FC236}">
              <a16:creationId xmlns:a16="http://schemas.microsoft.com/office/drawing/2014/main" id="{DA7A336D-01AE-47F4-AAB8-3EE8F6D2BCDE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31" name="AutoShape 10">
          <a:extLst>
            <a:ext uri="{FF2B5EF4-FFF2-40B4-BE49-F238E27FC236}">
              <a16:creationId xmlns:a16="http://schemas.microsoft.com/office/drawing/2014/main" id="{55D7EABF-7039-4427-A4B8-085E78237CFC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32" name="AutoShape 9">
          <a:extLst>
            <a:ext uri="{FF2B5EF4-FFF2-40B4-BE49-F238E27FC236}">
              <a16:creationId xmlns:a16="http://schemas.microsoft.com/office/drawing/2014/main" id="{D4E8921D-7BC0-4994-B4B0-831C46C0B716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292099"/>
    <xdr:sp macro="" textlink="">
      <xdr:nvSpPr>
        <xdr:cNvPr id="133" name="AutoShape 10">
          <a:extLst>
            <a:ext uri="{FF2B5EF4-FFF2-40B4-BE49-F238E27FC236}">
              <a16:creationId xmlns:a16="http://schemas.microsoft.com/office/drawing/2014/main" id="{B617CB1A-BB10-4D06-90CD-EB095EC924DF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193000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292099"/>
    <xdr:sp macro="" textlink="">
      <xdr:nvSpPr>
        <xdr:cNvPr id="134" name="AutoShape 9">
          <a:extLst>
            <a:ext uri="{FF2B5EF4-FFF2-40B4-BE49-F238E27FC236}">
              <a16:creationId xmlns:a16="http://schemas.microsoft.com/office/drawing/2014/main" id="{768DCC24-F1C5-4FDE-B89E-C94A35BD6022}"/>
            </a:ext>
          </a:extLst>
        </xdr:cNvPr>
        <xdr:cNvSpPr>
          <a:spLocks noChangeAspect="1" noChangeArrowheads="1"/>
        </xdr:cNvSpPr>
      </xdr:nvSpPr>
      <xdr:spPr bwMode="auto">
        <a:xfrm>
          <a:off x="5895975" y="20354925"/>
          <a:ext cx="304800" cy="29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56801</xdr:colOff>
      <xdr:row>1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9" r="16814"/>
        <a:stretch/>
      </xdr:blipFill>
      <xdr:spPr>
        <a:xfrm>
          <a:off x="95250" y="0"/>
          <a:ext cx="881062" cy="914714"/>
        </a:xfrm>
        <a:prstGeom prst="rect">
          <a:avLst/>
        </a:prstGeom>
      </xdr:spPr>
    </xdr:pic>
    <xdr:clientData/>
  </xdr:twoCellAnchor>
  <xdr:twoCellAnchor editAs="oneCell">
    <xdr:from>
      <xdr:col>7</xdr:col>
      <xdr:colOff>953837</xdr:colOff>
      <xdr:row>0</xdr:row>
      <xdr:rowOff>68393</xdr:rowOff>
    </xdr:from>
    <xdr:to>
      <xdr:col>8</xdr:col>
      <xdr:colOff>924414</xdr:colOff>
      <xdr:row>0</xdr:row>
      <xdr:rowOff>842298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1721" y="68393"/>
          <a:ext cx="927507" cy="773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209550</xdr:colOff>
      <xdr:row>0</xdr:row>
      <xdr:rowOff>845494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9" r="16814"/>
        <a:stretch/>
      </xdr:blipFill>
      <xdr:spPr>
        <a:xfrm>
          <a:off x="9525" y="9525"/>
          <a:ext cx="809625" cy="83596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0</xdr:row>
      <xdr:rowOff>66675</xdr:rowOff>
    </xdr:from>
    <xdr:to>
      <xdr:col>9</xdr:col>
      <xdr:colOff>185469</xdr:colOff>
      <xdr:row>0</xdr:row>
      <xdr:rowOff>840580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66675"/>
          <a:ext cx="887026" cy="77390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142874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2009775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142874</xdr:rowOff>
    </xdr:to>
    <xdr:sp macro="" textlink="">
      <xdr:nvSpPr>
        <xdr:cNvPr id="6148" name="AutoShape 4">
          <a:extLs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2009775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304800</xdr:colOff>
      <xdr:row>39</xdr:row>
      <xdr:rowOff>142876</xdr:rowOff>
    </xdr:to>
    <xdr:sp macro="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6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2647950" y="101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24075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24075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130368</xdr:rowOff>
    </xdr:to>
    <xdr:sp macro="" textlink="">
      <xdr:nvSpPr>
        <xdr:cNvPr id="5" name="AutoShape 1" descr="untitled imag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90550" y="1810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256592</xdr:colOff>
      <xdr:row>37</xdr:row>
      <xdr:rowOff>38877</xdr:rowOff>
    </xdr:from>
    <xdr:ext cx="304800" cy="303741"/>
    <xdr:sp macro="" textlink="">
      <xdr:nvSpPr>
        <xdr:cNvPr id="21" name="AutoShape 1" descr="untitled imag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573694" y="8521959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513080</xdr:colOff>
      <xdr:row>42</xdr:row>
      <xdr:rowOff>106680</xdr:rowOff>
    </xdr:from>
    <xdr:ext cx="304800" cy="303741"/>
    <xdr:sp macro="" textlink="">
      <xdr:nvSpPr>
        <xdr:cNvPr id="25" name="AutoShape 1" descr="untitled imag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13080" y="7843520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135371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6905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gom\Downloads\OR&#199;AMENTO%20REFORMA%20CRECHE%20SANTA%20L&#218;CIA%20-%20REV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\CONVENIOS\PM_PEIXE_BOI\2021\0-%20CONVENIOS%20DO%20ESTADO\SEDOP\02%20-%20REVITALIZA&#199;&#195;O%20DA%20ORLA\1_%20REQUALIFICA&#199;&#195;O%20DA%20ORLA%20DO%20RIO%20PEIXE-BOI-1.491.740,00%20-%20SICONV%20-%20MT\02-%20OR&#199;AMENTO\REV%201\OR&#199;AMENT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. SOCIAIS"/>
      <sheetName val="BDI"/>
      <sheetName val="BDI (2)"/>
      <sheetName val="CRONOGRAMA"/>
      <sheetName val="COMPOSIÇÕES"/>
      <sheetName val="ORÇAMENTO"/>
      <sheetName val="1. ADM. OBRA"/>
      <sheetName val="2. SERV. PREL."/>
      <sheetName val="3. DEMO. RET."/>
      <sheetName val="4. MOV. TERRA"/>
      <sheetName val="5. FUND."/>
      <sheetName val="6. SUPEREST."/>
      <sheetName val="7. ALVENARIA"/>
      <sheetName val="8. ESQUAD."/>
      <sheetName val="9. COBERTURA"/>
      <sheetName val="10. IMPERM."/>
      <sheetName val="11. REVEST."/>
      <sheetName val="12. PISO"/>
      <sheetName val="13. PINTURA"/>
      <sheetName val="14. INST. HIDRA."/>
      <sheetName val="15. INST. SANIT."/>
      <sheetName val="16. LOUÇAS"/>
      <sheetName val="17. COMBT. INC. "/>
      <sheetName val="18. ELÉTRICO"/>
      <sheetName val="19. SERV. COMPL."/>
      <sheetName val="20. PAISAGISMO"/>
      <sheetName val="21. SERVIÇO FINAL"/>
    </sheetNames>
    <sheetDataSet>
      <sheetData sheetId="0"/>
      <sheetData sheetId="1"/>
      <sheetData sheetId="2"/>
      <sheetData sheetId="3"/>
      <sheetData sheetId="4"/>
      <sheetData sheetId="5">
        <row r="8">
          <cell r="G8">
            <v>45196</v>
          </cell>
        </row>
        <row r="10">
          <cell r="B10" t="str">
            <v>MARUZA BAPTISTA</v>
          </cell>
          <cell r="G10" t="str">
            <v>CAU: 28510-2 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BDI"/>
      <sheetName val="CFF"/>
      <sheetName val="MAPA DE COTAÇÃO"/>
      <sheetName val="COMPOSIÇÕES"/>
      <sheetName val="ADM.LOC.0"/>
      <sheetName val="SER.PREL.1"/>
      <sheetName val="DEMOLIÇÃO E REMOÇÃO. 2"/>
      <sheetName val="PAV. 3"/>
      <sheetName val="URB. 4"/>
      <sheetName val="CARAM. 5"/>
      <sheetName val="MESAS DE CONC. 6"/>
      <sheetName val="BAR. E BANH. 7"/>
      <sheetName val="ESCADAS.8"/>
      <sheetName val="PÓRTICO.9"/>
      <sheetName val="PLAY. 10"/>
      <sheetName val="MONUM.11"/>
      <sheetName val="ELÉTRICO. 12"/>
      <sheetName val="DREN. 13"/>
      <sheetName val="SERV. DIV. 14"/>
    </sheetNames>
    <sheetDataSet>
      <sheetData sheetId="0">
        <row r="12">
          <cell r="D12" t="str">
            <v>ADMINISTRAÇÃO LOCAL (ENGENHEIRO CIVIL E ENCARREGADO DE OBRAS)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1F497D"/>
      </a:dk2>
      <a:lt2>
        <a:srgbClr val="3F3F3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showGridLines="0" tabSelected="1" view="pageBreakPreview" topLeftCell="A25" zoomScale="85" zoomScaleNormal="62" zoomScaleSheetLayoutView="85" zoomScalePageLayoutView="40" workbookViewId="0">
      <selection activeCell="A24" sqref="A24:H24"/>
    </sheetView>
  </sheetViews>
  <sheetFormatPr defaultRowHeight="12.75" x14ac:dyDescent="0.2"/>
  <cols>
    <col min="3" max="3" width="29.5703125" bestFit="1" customWidth="1"/>
    <col min="6" max="6" width="9.42578125" customWidth="1"/>
  </cols>
  <sheetData>
    <row r="1" spans="1:19" ht="69.95" customHeight="1" thickBot="1" x14ac:dyDescent="0.25">
      <c r="A1" s="102"/>
      <c r="B1" s="406" t="str">
        <f>ORÇAMENTO!B1</f>
        <v>ESTADO DO PARÁ
PREFEITURA MUNICIPAL DE ULIANÓPOLIS
CNPJ: 83.334.672/0001-60</v>
      </c>
      <c r="C1" s="406"/>
      <c r="D1" s="406"/>
      <c r="E1" s="406"/>
      <c r="F1" s="406"/>
      <c r="G1" s="406"/>
      <c r="H1" s="406"/>
      <c r="I1" s="406"/>
      <c r="J1" s="108"/>
      <c r="K1" s="109"/>
      <c r="L1" s="109"/>
    </row>
    <row r="2" spans="1:19" ht="20.25" customHeight="1" thickBot="1" x14ac:dyDescent="0.25">
      <c r="A2" s="416" t="s">
        <v>58</v>
      </c>
      <c r="B2" s="417"/>
      <c r="C2" s="417"/>
      <c r="D2" s="417"/>
      <c r="E2" s="417"/>
      <c r="F2" s="417"/>
      <c r="G2" s="417"/>
      <c r="H2" s="417"/>
      <c r="I2" s="418"/>
      <c r="K2" s="16" t="s">
        <v>61</v>
      </c>
      <c r="L2" s="17"/>
      <c r="M2" s="17"/>
      <c r="N2" s="17"/>
      <c r="O2" s="18"/>
      <c r="P2" s="31">
        <v>0.28820000000000001</v>
      </c>
      <c r="Q2" s="31">
        <v>0.32779999999999998</v>
      </c>
      <c r="R2" s="31">
        <v>0.37090000000000001</v>
      </c>
    </row>
    <row r="3" spans="1:19" ht="28.35" customHeight="1" x14ac:dyDescent="0.2">
      <c r="A3" s="414" t="s">
        <v>59</v>
      </c>
      <c r="B3" s="415"/>
      <c r="C3" s="422" t="str">
        <f>ORÇAMENTO!B2</f>
        <v>PREFEITURA MUNICÍPAL DE ULIANÓPOLIS</v>
      </c>
      <c r="D3" s="421"/>
      <c r="E3" s="426" t="s">
        <v>64</v>
      </c>
      <c r="F3" s="427"/>
      <c r="G3" s="423" t="str">
        <f>ORÇAMENTO!G2</f>
        <v>ULIANÓPOLIS/PA</v>
      </c>
      <c r="H3" s="424"/>
      <c r="I3" s="425"/>
      <c r="K3" s="73" t="s">
        <v>39</v>
      </c>
      <c r="L3" s="74"/>
      <c r="M3" s="74"/>
      <c r="N3" s="74"/>
      <c r="O3" s="75"/>
      <c r="P3" s="20">
        <v>3</v>
      </c>
      <c r="Q3" s="21">
        <v>4</v>
      </c>
      <c r="R3" s="22">
        <v>5.5</v>
      </c>
    </row>
    <row r="4" spans="1:19" ht="41.45" customHeight="1" x14ac:dyDescent="0.2">
      <c r="A4" s="414" t="s">
        <v>60</v>
      </c>
      <c r="B4" s="415"/>
      <c r="C4" s="432" t="str">
        <f>ORÇAMENTO!B3</f>
        <v>CONSTRUÇÃO DO MONUMENTO SAGRADO CORAÇÃO DE JESUS NO MUNICÍPIO DE ULIANÓPOLIS/PA</v>
      </c>
      <c r="D4" s="433"/>
      <c r="E4" s="396" t="str">
        <f>ORÇAMENTO!E3</f>
        <v>Data Base:</v>
      </c>
      <c r="F4" s="396"/>
      <c r="G4" s="433" t="str">
        <f>ORÇAMENTO!G3</f>
        <v>SINAPI ABRIL 2024 - DESONERADA</v>
      </c>
      <c r="H4" s="433"/>
      <c r="I4" s="434"/>
      <c r="K4" s="105" t="s">
        <v>41</v>
      </c>
      <c r="L4" s="106"/>
      <c r="M4" s="106"/>
      <c r="N4" s="106"/>
      <c r="O4" s="107"/>
      <c r="P4" s="23">
        <v>0.97</v>
      </c>
      <c r="Q4" s="24">
        <v>1.27</v>
      </c>
      <c r="R4" s="26">
        <v>1.27</v>
      </c>
    </row>
    <row r="5" spans="1:19" ht="27" customHeight="1" x14ac:dyDescent="0.2">
      <c r="A5" s="414" t="s">
        <v>133</v>
      </c>
      <c r="B5" s="415"/>
      <c r="C5" s="262" t="str">
        <f>ORÇAMENTO!B4</f>
        <v>ULINANÓPOLIS/PA</v>
      </c>
      <c r="D5" s="263"/>
      <c r="E5" s="396"/>
      <c r="F5" s="396"/>
      <c r="G5" s="435" t="str">
        <f>ORÇAMENTO!G4</f>
        <v>SEOP ABRIL 2024 - DESONERADA</v>
      </c>
      <c r="H5" s="435"/>
      <c r="I5" s="436"/>
      <c r="K5" s="105" t="s">
        <v>42</v>
      </c>
      <c r="L5" s="106"/>
      <c r="M5" s="106"/>
      <c r="N5" s="106"/>
      <c r="O5" s="107"/>
      <c r="P5" s="23">
        <v>0.59</v>
      </c>
      <c r="Q5" s="24">
        <v>1.23</v>
      </c>
      <c r="R5" s="25">
        <v>1.39</v>
      </c>
    </row>
    <row r="6" spans="1:19" ht="39" customHeight="1" x14ac:dyDescent="0.2">
      <c r="A6" s="408" t="s">
        <v>192</v>
      </c>
      <c r="B6" s="409"/>
      <c r="C6" s="410">
        <f>ORÇAMENTO!B5</f>
        <v>215716.49</v>
      </c>
      <c r="D6" s="411"/>
      <c r="E6" s="397" t="str">
        <f>ORÇAMENTO!E5</f>
        <v>BDI Serviços:</v>
      </c>
      <c r="F6" s="398"/>
      <c r="G6" s="419">
        <f>ORÇAMENTO!G5</f>
        <v>0.29769428939090381</v>
      </c>
      <c r="H6" s="420"/>
      <c r="I6" s="421"/>
      <c r="K6" s="105" t="s">
        <v>43</v>
      </c>
      <c r="L6" s="106"/>
      <c r="M6" s="106"/>
      <c r="N6" s="106"/>
      <c r="O6" s="107"/>
      <c r="P6" s="23">
        <v>6.16</v>
      </c>
      <c r="Q6" s="24">
        <v>7.4</v>
      </c>
      <c r="R6" s="25">
        <v>8.9600000000000009</v>
      </c>
    </row>
    <row r="7" spans="1:19" ht="25.5" customHeight="1" x14ac:dyDescent="0.2">
      <c r="A7" s="396" t="s">
        <v>62</v>
      </c>
      <c r="B7" s="396"/>
      <c r="C7" s="412" t="str">
        <f>ORÇAMENTO!B7</f>
        <v>Maruza Baptista</v>
      </c>
      <c r="D7" s="413"/>
      <c r="E7" s="397" t="s">
        <v>136</v>
      </c>
      <c r="F7" s="398"/>
      <c r="G7" s="399" t="str">
        <f>ORÇAMENTO!G8</f>
        <v>CAU: 28510-2 A</v>
      </c>
      <c r="H7" s="399"/>
      <c r="I7" s="399"/>
      <c r="J7" s="19"/>
      <c r="K7" s="393" t="s">
        <v>44</v>
      </c>
      <c r="L7" s="394"/>
      <c r="M7" s="394"/>
      <c r="N7" s="394"/>
      <c r="O7" s="395"/>
      <c r="P7" s="27">
        <v>13.15</v>
      </c>
      <c r="Q7" s="28">
        <v>13.15</v>
      </c>
      <c r="R7" s="27">
        <v>13.15</v>
      </c>
    </row>
    <row r="8" spans="1:19" ht="13.5" thickBot="1" x14ac:dyDescent="0.25">
      <c r="A8" s="98"/>
      <c r="B8" s="99"/>
      <c r="C8" s="99"/>
      <c r="D8" s="99"/>
      <c r="E8" s="99"/>
      <c r="F8" s="99"/>
      <c r="G8" s="99"/>
      <c r="H8" s="99"/>
      <c r="I8" s="100"/>
    </row>
    <row r="9" spans="1:19" ht="21.75" customHeight="1" thickBot="1" x14ac:dyDescent="0.25">
      <c r="A9" s="428" t="s">
        <v>178</v>
      </c>
      <c r="B9" s="429"/>
      <c r="C9" s="429"/>
      <c r="D9" s="429"/>
      <c r="E9" s="429"/>
      <c r="F9" s="429"/>
      <c r="G9" s="429"/>
      <c r="H9" s="429"/>
      <c r="I9" s="430"/>
    </row>
    <row r="10" spans="1:19" ht="15.75" thickBot="1" x14ac:dyDescent="0.3">
      <c r="A10" s="127" t="s">
        <v>4</v>
      </c>
      <c r="B10" s="289" t="s">
        <v>38</v>
      </c>
      <c r="C10" s="290"/>
      <c r="D10" s="290"/>
      <c r="E10" s="290"/>
      <c r="F10" s="290"/>
      <c r="G10" s="290"/>
      <c r="H10" s="290"/>
      <c r="I10" s="128"/>
    </row>
    <row r="11" spans="1:19" ht="14.25" x14ac:dyDescent="0.2">
      <c r="A11" s="129">
        <v>1</v>
      </c>
      <c r="B11" s="130" t="s">
        <v>39</v>
      </c>
      <c r="C11" s="131"/>
      <c r="D11" s="131"/>
      <c r="E11" s="131"/>
      <c r="F11" s="131"/>
      <c r="G11" s="131"/>
      <c r="H11" s="131"/>
      <c r="I11" s="132">
        <v>3.7999999999999999E-2</v>
      </c>
      <c r="S11" s="29"/>
    </row>
    <row r="12" spans="1:19" ht="14.25" x14ac:dyDescent="0.2">
      <c r="A12" s="133">
        <v>2</v>
      </c>
      <c r="B12" s="134" t="s">
        <v>40</v>
      </c>
      <c r="C12" s="290"/>
      <c r="D12" s="290"/>
      <c r="E12" s="290"/>
      <c r="F12" s="290"/>
      <c r="G12" s="290"/>
      <c r="H12" s="290"/>
      <c r="I12" s="135">
        <v>3.2000000000000002E-3</v>
      </c>
    </row>
    <row r="13" spans="1:19" ht="14.25" x14ac:dyDescent="0.2">
      <c r="A13" s="133">
        <v>3</v>
      </c>
      <c r="B13" s="134" t="s">
        <v>41</v>
      </c>
      <c r="C13" s="290"/>
      <c r="D13" s="290"/>
      <c r="E13" s="290"/>
      <c r="F13" s="290"/>
      <c r="G13" s="290"/>
      <c r="H13" s="290"/>
      <c r="I13" s="136">
        <v>5.0000000000000001E-3</v>
      </c>
      <c r="J13" s="30"/>
    </row>
    <row r="14" spans="1:19" ht="14.25" x14ac:dyDescent="0.2">
      <c r="A14" s="133">
        <v>4</v>
      </c>
      <c r="B14" s="134" t="s">
        <v>42</v>
      </c>
      <c r="C14" s="290"/>
      <c r="D14" s="290"/>
      <c r="E14" s="290"/>
      <c r="F14" s="290"/>
      <c r="G14" s="290"/>
      <c r="H14" s="290"/>
      <c r="I14" s="135">
        <v>1.0200000000000001E-2</v>
      </c>
    </row>
    <row r="15" spans="1:19" ht="14.25" x14ac:dyDescent="0.2">
      <c r="A15" s="133">
        <v>5</v>
      </c>
      <c r="B15" s="134" t="s">
        <v>43</v>
      </c>
      <c r="C15" s="290"/>
      <c r="D15" s="290"/>
      <c r="E15" s="290"/>
      <c r="F15" s="290"/>
      <c r="G15" s="290"/>
      <c r="H15" s="290"/>
      <c r="I15" s="135">
        <v>6.6400000000000001E-2</v>
      </c>
    </row>
    <row r="16" spans="1:19" ht="15" thickBot="1" x14ac:dyDescent="0.25">
      <c r="A16" s="137">
        <v>6</v>
      </c>
      <c r="B16" s="138" t="s">
        <v>44</v>
      </c>
      <c r="C16" s="139"/>
      <c r="D16" s="139"/>
      <c r="E16" s="139"/>
      <c r="F16" s="139"/>
      <c r="G16" s="139"/>
      <c r="H16" s="139"/>
      <c r="I16" s="140">
        <f>I22</f>
        <v>0.13150000000000001</v>
      </c>
    </row>
    <row r="17" spans="1:9" ht="15.75" thickBot="1" x14ac:dyDescent="0.3">
      <c r="A17" s="127" t="s">
        <v>4</v>
      </c>
      <c r="B17" s="289" t="s">
        <v>45</v>
      </c>
      <c r="C17" s="290"/>
      <c r="D17" s="290"/>
      <c r="E17" s="290"/>
      <c r="F17" s="290"/>
      <c r="G17" s="290"/>
      <c r="H17" s="290"/>
      <c r="I17" s="141"/>
    </row>
    <row r="18" spans="1:9" ht="14.25" x14ac:dyDescent="0.2">
      <c r="A18" s="142" t="s">
        <v>1</v>
      </c>
      <c r="B18" s="130" t="s">
        <v>46</v>
      </c>
      <c r="C18" s="131"/>
      <c r="D18" s="131"/>
      <c r="E18" s="131"/>
      <c r="F18" s="131"/>
      <c r="G18" s="131"/>
      <c r="H18" s="131"/>
      <c r="I18" s="143">
        <v>0.05</v>
      </c>
    </row>
    <row r="19" spans="1:9" ht="14.25" x14ac:dyDescent="0.2">
      <c r="A19" s="144" t="s">
        <v>2</v>
      </c>
      <c r="B19" s="134" t="s">
        <v>47</v>
      </c>
      <c r="C19" s="290"/>
      <c r="D19" s="290"/>
      <c r="E19" s="290"/>
      <c r="F19" s="290"/>
      <c r="G19" s="290"/>
      <c r="H19" s="290"/>
      <c r="I19" s="145">
        <v>6.4999999999999997E-3</v>
      </c>
    </row>
    <row r="20" spans="1:9" ht="14.25" x14ac:dyDescent="0.2">
      <c r="A20" s="144" t="s">
        <v>3</v>
      </c>
      <c r="B20" s="134" t="s">
        <v>48</v>
      </c>
      <c r="C20" s="290"/>
      <c r="D20" s="290"/>
      <c r="E20" s="290"/>
      <c r="F20" s="290"/>
      <c r="G20" s="290"/>
      <c r="H20" s="290"/>
      <c r="I20" s="145">
        <v>0.03</v>
      </c>
    </row>
    <row r="21" spans="1:9" ht="15" thickBot="1" x14ac:dyDescent="0.25">
      <c r="A21" s="146" t="s">
        <v>49</v>
      </c>
      <c r="B21" s="138" t="s">
        <v>50</v>
      </c>
      <c r="C21" s="139"/>
      <c r="D21" s="139"/>
      <c r="E21" s="139"/>
      <c r="F21" s="139"/>
      <c r="G21" s="139"/>
      <c r="H21" s="139"/>
      <c r="I21" s="147">
        <v>4.4999999999999998E-2</v>
      </c>
    </row>
    <row r="22" spans="1:9" ht="15.75" thickBot="1" x14ac:dyDescent="0.3">
      <c r="A22" s="148"/>
      <c r="B22" s="290"/>
      <c r="C22" s="290"/>
      <c r="D22" s="290"/>
      <c r="E22" s="290"/>
      <c r="F22" s="290"/>
      <c r="G22" s="431" t="s">
        <v>51</v>
      </c>
      <c r="H22" s="431"/>
      <c r="I22" s="149">
        <f>SUM(I18:I21)</f>
        <v>0.13150000000000001</v>
      </c>
    </row>
    <row r="23" spans="1:9" ht="43.5" customHeight="1" thickBot="1" x14ac:dyDescent="0.3">
      <c r="A23" s="403" t="s">
        <v>52</v>
      </c>
      <c r="B23" s="404"/>
      <c r="C23" s="404"/>
      <c r="D23" s="404"/>
      <c r="E23" s="404"/>
      <c r="F23" s="404"/>
      <c r="G23" s="404"/>
      <c r="H23" s="404"/>
      <c r="I23" s="405"/>
    </row>
    <row r="24" spans="1:9" ht="15.75" thickBot="1" x14ac:dyDescent="0.25">
      <c r="A24" s="400"/>
      <c r="B24" s="401"/>
      <c r="C24" s="401"/>
      <c r="D24" s="401"/>
      <c r="E24" s="401"/>
      <c r="F24" s="401"/>
      <c r="G24" s="401"/>
      <c r="H24" s="402"/>
      <c r="I24" s="150">
        <f>(((1+I11+I12+I13)*(1+I14)*(1+I15))/(1-I16))-1</f>
        <v>0.29769428939090381</v>
      </c>
    </row>
    <row r="25" spans="1:9" ht="9.75" customHeight="1" x14ac:dyDescent="0.2">
      <c r="A25" s="151"/>
      <c r="B25" s="291"/>
      <c r="C25" s="291"/>
      <c r="D25" s="291"/>
      <c r="E25" s="291"/>
      <c r="F25" s="291"/>
      <c r="G25" s="291"/>
      <c r="H25" s="291"/>
      <c r="I25" s="152"/>
    </row>
    <row r="26" spans="1:9" ht="12.75" customHeight="1" x14ac:dyDescent="0.2">
      <c r="A26" s="153" t="s">
        <v>53</v>
      </c>
      <c r="B26" s="291"/>
      <c r="C26" s="291"/>
      <c r="D26" s="291"/>
      <c r="E26" s="291"/>
      <c r="F26" s="291"/>
      <c r="G26" s="291"/>
      <c r="H26" s="291"/>
      <c r="I26" s="154"/>
    </row>
    <row r="27" spans="1:9" ht="24.6" customHeight="1" x14ac:dyDescent="0.2">
      <c r="A27" s="384" t="s">
        <v>54</v>
      </c>
      <c r="B27" s="385"/>
      <c r="C27" s="385"/>
      <c r="D27" s="385"/>
      <c r="E27" s="385"/>
      <c r="F27" s="385"/>
      <c r="G27" s="385"/>
      <c r="H27" s="385"/>
      <c r="I27" s="386"/>
    </row>
    <row r="28" spans="1:9" ht="15.6" customHeight="1" x14ac:dyDescent="0.2">
      <c r="A28" s="384" t="s">
        <v>55</v>
      </c>
      <c r="B28" s="385"/>
      <c r="C28" s="385"/>
      <c r="D28" s="385"/>
      <c r="E28" s="385"/>
      <c r="F28" s="385"/>
      <c r="G28" s="385"/>
      <c r="H28" s="385"/>
      <c r="I28" s="386"/>
    </row>
    <row r="29" spans="1:9" ht="12.75" customHeight="1" x14ac:dyDescent="0.2">
      <c r="A29" s="387" t="s">
        <v>56</v>
      </c>
      <c r="B29" s="388"/>
      <c r="C29" s="388"/>
      <c r="D29" s="388"/>
      <c r="E29" s="388"/>
      <c r="F29" s="388"/>
      <c r="G29" s="388"/>
      <c r="H29" s="388"/>
      <c r="I29" s="389"/>
    </row>
    <row r="30" spans="1:9" ht="29.45" customHeight="1" x14ac:dyDescent="0.2">
      <c r="A30" s="384" t="s">
        <v>57</v>
      </c>
      <c r="B30" s="385"/>
      <c r="C30" s="385"/>
      <c r="D30" s="385"/>
      <c r="E30" s="385"/>
      <c r="F30" s="385"/>
      <c r="G30" s="385"/>
      <c r="H30" s="385"/>
      <c r="I30" s="386"/>
    </row>
    <row r="31" spans="1:9" ht="39.6" customHeight="1" thickBot="1" x14ac:dyDescent="0.25">
      <c r="A31" s="390" t="s">
        <v>180</v>
      </c>
      <c r="B31" s="391"/>
      <c r="C31" s="391"/>
      <c r="D31" s="391"/>
      <c r="E31" s="391"/>
      <c r="F31" s="391"/>
      <c r="G31" s="391"/>
      <c r="H31" s="391"/>
      <c r="I31" s="392"/>
    </row>
    <row r="32" spans="1:9" ht="9.75" customHeight="1" x14ac:dyDescent="0.2">
      <c r="A32" s="290"/>
      <c r="B32" s="290"/>
      <c r="C32" s="290"/>
      <c r="D32" s="290"/>
      <c r="E32" s="290"/>
      <c r="F32" s="290"/>
      <c r="G32" s="290"/>
      <c r="H32" s="290"/>
      <c r="I32" s="290"/>
    </row>
    <row r="33" spans="1:9" ht="14.25" x14ac:dyDescent="0.2">
      <c r="A33" s="383"/>
      <c r="B33" s="383"/>
      <c r="C33" s="383"/>
      <c r="D33" s="383"/>
      <c r="E33" s="383"/>
      <c r="F33" s="383"/>
      <c r="G33" s="383"/>
      <c r="H33" s="383"/>
      <c r="I33" s="383"/>
    </row>
    <row r="36" spans="1:9" s="76" customFormat="1" ht="36.6" customHeight="1" x14ac:dyDescent="0.2">
      <c r="A36" s="379" t="s">
        <v>181</v>
      </c>
      <c r="B36" s="379"/>
      <c r="C36" s="379"/>
      <c r="D36" s="379"/>
      <c r="E36" s="379"/>
      <c r="F36" s="379"/>
      <c r="G36" s="379"/>
      <c r="H36" s="379"/>
      <c r="I36" s="379"/>
    </row>
    <row r="37" spans="1:9" s="76" customFormat="1" x14ac:dyDescent="0.2">
      <c r="A37" s="377" t="str">
        <f>C7</f>
        <v>Maruza Baptista</v>
      </c>
      <c r="B37" s="377"/>
      <c r="C37" s="377"/>
      <c r="D37" s="377"/>
      <c r="E37" s="377"/>
      <c r="F37" s="377"/>
      <c r="G37" s="377"/>
      <c r="H37" s="377"/>
      <c r="I37" s="377"/>
    </row>
    <row r="38" spans="1:9" s="76" customFormat="1" x14ac:dyDescent="0.2">
      <c r="A38" s="378" t="str">
        <f>G7</f>
        <v>CAU: 28510-2 A</v>
      </c>
      <c r="B38" s="378"/>
      <c r="C38" s="378"/>
      <c r="D38" s="378"/>
      <c r="E38" s="378"/>
      <c r="F38" s="378"/>
      <c r="G38" s="378"/>
      <c r="H38" s="378"/>
      <c r="I38" s="378"/>
    </row>
    <row r="41" spans="1:9" x14ac:dyDescent="0.2">
      <c r="A41" s="381" t="s">
        <v>183</v>
      </c>
      <c r="B41" s="382"/>
      <c r="C41" s="382"/>
      <c r="D41" s="382"/>
      <c r="E41" s="382"/>
      <c r="F41" s="382"/>
      <c r="G41" s="382"/>
      <c r="H41" s="382"/>
      <c r="I41" s="382"/>
    </row>
    <row r="42" spans="1:9" ht="15" customHeight="1" x14ac:dyDescent="0.2">
      <c r="A42" s="380" t="s">
        <v>182</v>
      </c>
      <c r="B42" s="380"/>
      <c r="C42" s="380"/>
      <c r="D42" s="380"/>
      <c r="E42" s="380"/>
      <c r="F42" s="380"/>
      <c r="G42" s="380"/>
      <c r="H42" s="380"/>
      <c r="I42" s="380"/>
    </row>
    <row r="43" spans="1:9" x14ac:dyDescent="0.2">
      <c r="A43" s="380"/>
      <c r="B43" s="380"/>
      <c r="C43" s="380"/>
      <c r="D43" s="380"/>
      <c r="E43" s="380"/>
      <c r="F43" s="380"/>
      <c r="G43" s="380"/>
      <c r="H43" s="380"/>
      <c r="I43" s="380"/>
    </row>
    <row r="44" spans="1:9" x14ac:dyDescent="0.2">
      <c r="A44" s="380"/>
      <c r="B44" s="380"/>
      <c r="C44" s="380"/>
      <c r="D44" s="380"/>
      <c r="E44" s="380"/>
      <c r="F44" s="380"/>
      <c r="G44" s="380"/>
      <c r="H44" s="380"/>
      <c r="I44" s="380"/>
    </row>
    <row r="45" spans="1:9" x14ac:dyDescent="0.2">
      <c r="A45" s="380"/>
      <c r="B45" s="380"/>
      <c r="C45" s="380"/>
      <c r="D45" s="380"/>
      <c r="E45" s="380"/>
      <c r="F45" s="380"/>
      <c r="G45" s="380"/>
      <c r="H45" s="380"/>
      <c r="I45" s="380"/>
    </row>
    <row r="46" spans="1:9" x14ac:dyDescent="0.2">
      <c r="A46" s="380"/>
      <c r="B46" s="380"/>
      <c r="C46" s="380"/>
      <c r="D46" s="380"/>
      <c r="E46" s="380"/>
      <c r="F46" s="380"/>
      <c r="G46" s="380"/>
      <c r="H46" s="380"/>
      <c r="I46" s="380"/>
    </row>
    <row r="47" spans="1:9" x14ac:dyDescent="0.2">
      <c r="A47" s="380"/>
      <c r="B47" s="380"/>
      <c r="C47" s="380"/>
      <c r="D47" s="380"/>
      <c r="E47" s="380"/>
      <c r="F47" s="380"/>
      <c r="G47" s="380"/>
      <c r="H47" s="380"/>
      <c r="I47" s="380"/>
    </row>
    <row r="48" spans="1:9" x14ac:dyDescent="0.2">
      <c r="A48" s="380"/>
      <c r="B48" s="380"/>
      <c r="C48" s="380"/>
      <c r="D48" s="380"/>
      <c r="E48" s="380"/>
      <c r="F48" s="380"/>
      <c r="G48" s="380"/>
      <c r="H48" s="380"/>
      <c r="I48" s="380"/>
    </row>
    <row r="49" spans="1:9" x14ac:dyDescent="0.2">
      <c r="A49" s="380"/>
      <c r="B49" s="380"/>
      <c r="C49" s="380"/>
      <c r="D49" s="380"/>
      <c r="E49" s="380"/>
      <c r="F49" s="380"/>
      <c r="G49" s="380"/>
      <c r="H49" s="380"/>
      <c r="I49" s="380"/>
    </row>
    <row r="50" spans="1:9" x14ac:dyDescent="0.2">
      <c r="A50" s="380"/>
      <c r="B50" s="380"/>
      <c r="C50" s="380"/>
      <c r="D50" s="380"/>
      <c r="E50" s="380"/>
      <c r="F50" s="380"/>
      <c r="G50" s="380"/>
      <c r="H50" s="380"/>
      <c r="I50" s="380"/>
    </row>
    <row r="53" spans="1:9" x14ac:dyDescent="0.2">
      <c r="A53" s="4"/>
      <c r="B53" s="76"/>
      <c r="C53" s="76"/>
      <c r="D53" s="76"/>
      <c r="E53" s="76"/>
    </row>
    <row r="54" spans="1:9" x14ac:dyDescent="0.2">
      <c r="A54" s="76"/>
      <c r="B54" s="76"/>
      <c r="C54" s="76"/>
      <c r="D54" s="76"/>
      <c r="E54" s="76"/>
      <c r="F54" s="77"/>
      <c r="G54" s="77"/>
      <c r="H54" s="77"/>
    </row>
    <row r="55" spans="1:9" x14ac:dyDescent="0.2">
      <c r="A55" s="407"/>
      <c r="B55" s="407"/>
      <c r="C55" s="407"/>
      <c r="D55" s="407"/>
      <c r="E55" s="407"/>
      <c r="F55" s="78"/>
      <c r="G55" s="78"/>
      <c r="H55" s="79"/>
    </row>
    <row r="56" spans="1:9" x14ac:dyDescent="0.2">
      <c r="A56" s="407"/>
      <c r="B56" s="407"/>
      <c r="C56" s="407"/>
      <c r="D56" s="407"/>
      <c r="E56" s="407"/>
      <c r="F56" s="78"/>
      <c r="G56" s="78"/>
      <c r="H56" s="79"/>
    </row>
    <row r="57" spans="1:9" x14ac:dyDescent="0.2">
      <c r="A57" s="407"/>
      <c r="B57" s="407"/>
      <c r="C57" s="407"/>
      <c r="D57" s="407"/>
      <c r="E57" s="407"/>
      <c r="F57" s="78"/>
      <c r="G57" s="78"/>
      <c r="H57" s="80"/>
    </row>
    <row r="58" spans="1:9" x14ac:dyDescent="0.2">
      <c r="A58" s="407"/>
      <c r="B58" s="407"/>
      <c r="C58" s="407"/>
      <c r="D58" s="407"/>
      <c r="E58" s="407"/>
      <c r="F58" s="78"/>
      <c r="G58" s="78"/>
      <c r="H58" s="79"/>
    </row>
    <row r="59" spans="1:9" x14ac:dyDescent="0.2">
      <c r="A59" s="407"/>
      <c r="B59" s="407"/>
      <c r="C59" s="407"/>
      <c r="D59" s="407"/>
      <c r="E59" s="407"/>
      <c r="F59" s="78"/>
      <c r="G59" s="78"/>
      <c r="H59" s="79"/>
    </row>
    <row r="60" spans="1:9" x14ac:dyDescent="0.2">
      <c r="A60" s="407"/>
      <c r="B60" s="407"/>
      <c r="C60" s="407"/>
      <c r="D60" s="407"/>
      <c r="E60" s="407"/>
      <c r="F60" s="81"/>
      <c r="G60" s="81"/>
      <c r="H60" s="81"/>
    </row>
    <row r="84" ht="16.5" customHeight="1" x14ac:dyDescent="0.2"/>
  </sheetData>
  <mergeCells count="42">
    <mergeCell ref="E3:F3"/>
    <mergeCell ref="A9:I9"/>
    <mergeCell ref="G22:H22"/>
    <mergeCell ref="E6:F6"/>
    <mergeCell ref="A5:B5"/>
    <mergeCell ref="C4:D4"/>
    <mergeCell ref="E4:F5"/>
    <mergeCell ref="G4:I4"/>
    <mergeCell ref="G5:I5"/>
    <mergeCell ref="B1:I1"/>
    <mergeCell ref="A60:E60"/>
    <mergeCell ref="A55:E55"/>
    <mergeCell ref="A56:E56"/>
    <mergeCell ref="A57:E57"/>
    <mergeCell ref="A58:E58"/>
    <mergeCell ref="A59:E59"/>
    <mergeCell ref="A6:B6"/>
    <mergeCell ref="C6:D6"/>
    <mergeCell ref="C7:D7"/>
    <mergeCell ref="A4:B4"/>
    <mergeCell ref="A2:I2"/>
    <mergeCell ref="A3:B3"/>
    <mergeCell ref="G6:I6"/>
    <mergeCell ref="C3:D3"/>
    <mergeCell ref="G3:I3"/>
    <mergeCell ref="K7:O7"/>
    <mergeCell ref="A7:B7"/>
    <mergeCell ref="E7:F7"/>
    <mergeCell ref="G7:I7"/>
    <mergeCell ref="A24:H24"/>
    <mergeCell ref="A23:I23"/>
    <mergeCell ref="A33:I33"/>
    <mergeCell ref="A28:I28"/>
    <mergeCell ref="A29:I29"/>
    <mergeCell ref="A30:I30"/>
    <mergeCell ref="A27:I27"/>
    <mergeCell ref="A31:I31"/>
    <mergeCell ref="A37:I37"/>
    <mergeCell ref="A38:I38"/>
    <mergeCell ref="A36:I36"/>
    <mergeCell ref="A42:I50"/>
    <mergeCell ref="A41:I41"/>
  </mergeCells>
  <pageMargins left="0.7" right="0.7" top="0.75" bottom="0.75" header="0.3" footer="0.3"/>
  <pageSetup paperSize="9" scale="85" orientation="portrait" horizontalDpi="1200" verticalDpi="1200" r:id="rId1"/>
  <headerFooter>
    <oddFooter>&amp;C&amp;G</oddFooter>
  </headerFooter>
  <rowBreaks count="1" manualBreakCount="1">
    <brk id="39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4"/>
  <sheetViews>
    <sheetView view="pageBreakPreview" zoomScaleNormal="130" zoomScaleSheetLayoutView="100" workbookViewId="0">
      <selection activeCell="A24" sqref="A24:H24"/>
    </sheetView>
  </sheetViews>
  <sheetFormatPr defaultRowHeight="12.75" x14ac:dyDescent="0.2"/>
  <cols>
    <col min="1" max="1" width="19.140625" customWidth="1"/>
    <col min="2" max="2" width="12.5703125" customWidth="1"/>
    <col min="3" max="3" width="12.140625" customWidth="1"/>
    <col min="4" max="4" width="14.7109375" customWidth="1"/>
    <col min="6" max="6" width="12.140625" customWidth="1"/>
    <col min="8" max="9" width="10.5703125" customWidth="1"/>
  </cols>
  <sheetData>
    <row r="1" spans="1:23" ht="77.25" customHeight="1" x14ac:dyDescent="0.2">
      <c r="A1" s="441" t="str">
        <f>'BDI-SERVIÇOS'!B1</f>
        <v>ESTADO DO PARÁ
PREFEITURA MUNICIPAL DE ULIANÓPOLIS
CNPJ: 83.334.672/0001-60</v>
      </c>
      <c r="B1" s="442"/>
      <c r="C1" s="442"/>
      <c r="D1" s="442"/>
      <c r="E1" s="442"/>
      <c r="F1" s="442"/>
      <c r="G1" s="442"/>
      <c r="H1" s="442"/>
      <c r="I1" s="443"/>
      <c r="J1" s="300"/>
    </row>
    <row r="2" spans="1:23" ht="32.25" customHeight="1" x14ac:dyDescent="0.2">
      <c r="A2" s="299" t="s">
        <v>59</v>
      </c>
      <c r="B2" s="444" t="str">
        <f>'BDI-SERVIÇOS'!C3</f>
        <v>PREFEITURA MUNICÍPAL DE ULIANÓPOLIS</v>
      </c>
      <c r="C2" s="445"/>
      <c r="D2" s="445"/>
      <c r="E2" s="446"/>
      <c r="F2" s="447" t="s">
        <v>64</v>
      </c>
      <c r="G2" s="448"/>
      <c r="H2" s="449" t="str">
        <f>'BDI-SERVIÇOS'!G3</f>
        <v>ULIANÓPOLIS/PA</v>
      </c>
      <c r="I2" s="450"/>
      <c r="J2" s="301"/>
    </row>
    <row r="3" spans="1:23" ht="32.25" customHeight="1" x14ac:dyDescent="0.2">
      <c r="A3" s="299" t="s">
        <v>60</v>
      </c>
      <c r="B3" s="444" t="str">
        <f>'BDI-SERVIÇOS'!C4</f>
        <v>CONSTRUÇÃO DO MONUMENTO SAGRADO CORAÇÃO DE JESUS NO MUNICÍPIO DE ULIANÓPOLIS/PA</v>
      </c>
      <c r="C3" s="445"/>
      <c r="D3" s="445"/>
      <c r="E3" s="445"/>
      <c r="F3" s="445"/>
      <c r="G3" s="445"/>
      <c r="H3" s="445"/>
      <c r="I3" s="446"/>
      <c r="J3" s="111"/>
    </row>
    <row r="4" spans="1:23" ht="18.75" customHeight="1" x14ac:dyDescent="0.2">
      <c r="A4" s="299" t="s">
        <v>133</v>
      </c>
      <c r="B4" s="451" t="str">
        <f>'BDI-SERVIÇOS'!C5</f>
        <v>ULINANÓPOLIS/PA</v>
      </c>
      <c r="C4" s="452"/>
      <c r="D4" s="452"/>
      <c r="E4" s="452"/>
      <c r="F4" s="452"/>
      <c r="G4" s="452"/>
      <c r="H4" s="452"/>
      <c r="I4" s="453"/>
      <c r="J4" s="302"/>
    </row>
    <row r="5" spans="1:23" ht="30" customHeight="1" x14ac:dyDescent="0.2">
      <c r="A5" s="95" t="s">
        <v>340</v>
      </c>
      <c r="B5" s="450" t="s">
        <v>352</v>
      </c>
      <c r="C5" s="450"/>
      <c r="D5" s="450"/>
      <c r="E5" s="454" t="s">
        <v>37</v>
      </c>
      <c r="F5" s="454"/>
      <c r="G5" s="455" t="str">
        <f>'BDI-SERVIÇOS'!G4</f>
        <v>SINAPI ABRIL 2024 - DESONERADA</v>
      </c>
      <c r="H5" s="455"/>
      <c r="I5" s="455"/>
      <c r="J5" s="112"/>
    </row>
    <row r="6" spans="1:23" ht="37.5" customHeight="1" x14ac:dyDescent="0.2">
      <c r="A6" s="114" t="s">
        <v>341</v>
      </c>
      <c r="B6" s="456">
        <f>'BDI-SERVIÇOS'!I24</f>
        <v>0.29769428939090381</v>
      </c>
      <c r="C6" s="456"/>
      <c r="D6" s="456"/>
      <c r="E6" s="454"/>
      <c r="F6" s="454"/>
      <c r="G6" s="455" t="str">
        <f>'BDI-SERVIÇOS'!G5</f>
        <v>SEOP ABRIL 2024 - DESONERADA</v>
      </c>
      <c r="H6" s="455"/>
      <c r="I6" s="455"/>
      <c r="J6" s="112"/>
    </row>
    <row r="7" spans="1:23" ht="42" customHeight="1" x14ac:dyDescent="0.2">
      <c r="A7" s="114" t="s">
        <v>342</v>
      </c>
      <c r="B7" s="437">
        <f>I29</f>
        <v>0.16323475340228599</v>
      </c>
      <c r="C7" s="437"/>
      <c r="D7" s="437"/>
      <c r="E7" s="438" t="s">
        <v>191</v>
      </c>
      <c r="F7" s="438"/>
      <c r="G7" s="439">
        <f>[1]ORÇAMENTO!G8</f>
        <v>45196</v>
      </c>
      <c r="H7" s="439"/>
      <c r="I7" s="439"/>
      <c r="J7" s="303"/>
    </row>
    <row r="8" spans="1:23" ht="21.75" customHeight="1" x14ac:dyDescent="0.2">
      <c r="A8" s="114" t="s">
        <v>343</v>
      </c>
      <c r="B8" s="440">
        <f>'BDI-SERVIÇOS'!C6</f>
        <v>215716.49</v>
      </c>
      <c r="C8" s="440"/>
      <c r="D8" s="440"/>
      <c r="E8" s="438"/>
      <c r="F8" s="438"/>
      <c r="G8" s="439"/>
      <c r="H8" s="439"/>
      <c r="I8" s="439"/>
      <c r="J8" s="303"/>
    </row>
    <row r="9" spans="1:23" ht="28.5" customHeight="1" thickBot="1" x14ac:dyDescent="0.25">
      <c r="A9" s="114" t="s">
        <v>62</v>
      </c>
      <c r="B9" s="450" t="str">
        <f>[1]ORÇAMENTO!B10</f>
        <v>MARUZA BAPTISTA</v>
      </c>
      <c r="C9" s="450"/>
      <c r="D9" s="450"/>
      <c r="E9" s="457" t="s">
        <v>63</v>
      </c>
      <c r="F9" s="458"/>
      <c r="G9" s="459" t="str">
        <f>[1]ORÇAMENTO!G10</f>
        <v>CAU: 28510-2 A</v>
      </c>
      <c r="H9" s="460"/>
      <c r="I9" s="461"/>
      <c r="J9" s="113"/>
    </row>
    <row r="10" spans="1:23" ht="13.5" thickBot="1" x14ac:dyDescent="0.25">
      <c r="A10" s="304"/>
      <c r="B10" s="305"/>
      <c r="C10" s="305"/>
      <c r="D10" s="305"/>
      <c r="E10" s="305"/>
      <c r="F10" s="305"/>
      <c r="G10" s="305"/>
      <c r="H10" s="305"/>
      <c r="I10" s="306"/>
      <c r="P10" s="307" t="s">
        <v>344</v>
      </c>
      <c r="Q10" s="308"/>
      <c r="R10" s="308"/>
      <c r="S10" s="308"/>
      <c r="T10" s="308"/>
      <c r="U10" s="309" t="s">
        <v>345</v>
      </c>
      <c r="V10" s="309" t="s">
        <v>346</v>
      </c>
      <c r="W10" s="310" t="s">
        <v>347</v>
      </c>
    </row>
    <row r="11" spans="1:23" ht="13.5" thickBot="1" x14ac:dyDescent="0.25">
      <c r="A11" s="462" t="s">
        <v>58</v>
      </c>
      <c r="B11" s="463"/>
      <c r="C11" s="463"/>
      <c r="D11" s="463"/>
      <c r="E11" s="463"/>
      <c r="F11" s="463"/>
      <c r="G11" s="463"/>
      <c r="H11" s="463"/>
      <c r="I11" s="464"/>
      <c r="P11" s="16" t="s">
        <v>61</v>
      </c>
      <c r="Q11" s="17"/>
      <c r="R11" s="17"/>
      <c r="S11" s="17"/>
      <c r="T11" s="18"/>
      <c r="U11" s="31">
        <v>0.28820000000000001</v>
      </c>
      <c r="V11" s="31">
        <v>0.32779999999999998</v>
      </c>
      <c r="W11" s="31">
        <v>0.37090000000000001</v>
      </c>
    </row>
    <row r="12" spans="1:23" ht="13.5" thickBot="1" x14ac:dyDescent="0.25">
      <c r="A12" s="465"/>
      <c r="B12" s="466"/>
      <c r="C12" s="466"/>
      <c r="D12" s="466"/>
      <c r="E12" s="466"/>
      <c r="F12" s="466"/>
      <c r="G12" s="466"/>
      <c r="H12" s="466"/>
      <c r="I12" s="467"/>
      <c r="O12" s="19"/>
      <c r="P12" s="468" t="s">
        <v>39</v>
      </c>
      <c r="Q12" s="469"/>
      <c r="R12" s="469"/>
      <c r="S12" s="469"/>
      <c r="T12" s="470"/>
      <c r="U12" s="20">
        <v>3</v>
      </c>
      <c r="V12" s="21">
        <v>4</v>
      </c>
      <c r="W12" s="22">
        <v>5.5</v>
      </c>
    </row>
    <row r="13" spans="1:23" ht="13.5" thickBot="1" x14ac:dyDescent="0.25">
      <c r="A13" s="471" t="s">
        <v>351</v>
      </c>
      <c r="B13" s="472"/>
      <c r="C13" s="472"/>
      <c r="D13" s="472"/>
      <c r="E13" s="472"/>
      <c r="F13" s="472"/>
      <c r="G13" s="472"/>
      <c r="H13" s="472"/>
      <c r="I13" s="473"/>
      <c r="P13" s="393" t="s">
        <v>40</v>
      </c>
      <c r="Q13" s="394"/>
      <c r="R13" s="394"/>
      <c r="S13" s="394"/>
      <c r="T13" s="395"/>
      <c r="U13" s="23">
        <v>0.8</v>
      </c>
      <c r="V13" s="24">
        <v>0.8</v>
      </c>
      <c r="W13" s="25">
        <v>1</v>
      </c>
    </row>
    <row r="14" spans="1:23" ht="13.5" thickBot="1" x14ac:dyDescent="0.25">
      <c r="A14" s="311" t="s">
        <v>4</v>
      </c>
      <c r="B14" s="312" t="s">
        <v>38</v>
      </c>
      <c r="C14" s="313"/>
      <c r="D14" s="313"/>
      <c r="E14" s="313"/>
      <c r="F14" s="313"/>
      <c r="G14" s="313"/>
      <c r="H14" s="313"/>
      <c r="I14" s="314"/>
      <c r="P14" s="393" t="s">
        <v>41</v>
      </c>
      <c r="Q14" s="394"/>
      <c r="R14" s="394"/>
      <c r="S14" s="394"/>
      <c r="T14" s="395"/>
      <c r="U14" s="23">
        <v>0.97</v>
      </c>
      <c r="V14" s="24">
        <v>1.27</v>
      </c>
      <c r="W14" s="26">
        <v>1.27</v>
      </c>
    </row>
    <row r="15" spans="1:23" x14ac:dyDescent="0.2">
      <c r="A15" s="315">
        <v>1</v>
      </c>
      <c r="B15" s="316" t="s">
        <v>39</v>
      </c>
      <c r="C15" s="317"/>
      <c r="D15" s="317"/>
      <c r="E15" s="317"/>
      <c r="F15" s="317"/>
      <c r="G15" s="317"/>
      <c r="H15" s="318"/>
      <c r="I15" s="319">
        <v>1.4999999999999999E-2</v>
      </c>
      <c r="P15" s="393" t="s">
        <v>42</v>
      </c>
      <c r="Q15" s="394"/>
      <c r="R15" s="394"/>
      <c r="S15" s="394"/>
      <c r="T15" s="395"/>
      <c r="U15" s="23">
        <v>0.59</v>
      </c>
      <c r="V15" s="24">
        <v>1.23</v>
      </c>
      <c r="W15" s="25">
        <v>1.39</v>
      </c>
    </row>
    <row r="16" spans="1:23" x14ac:dyDescent="0.2">
      <c r="A16" s="320">
        <v>2</v>
      </c>
      <c r="B16" s="321" t="s">
        <v>40</v>
      </c>
      <c r="C16" s="313"/>
      <c r="D16" s="313"/>
      <c r="E16" s="313"/>
      <c r="F16" s="313"/>
      <c r="G16" s="313"/>
      <c r="H16" s="313"/>
      <c r="I16" s="322">
        <v>3.0000000000000001E-3</v>
      </c>
      <c r="P16" s="393" t="s">
        <v>43</v>
      </c>
      <c r="Q16" s="394"/>
      <c r="R16" s="394"/>
      <c r="S16" s="394"/>
      <c r="T16" s="395"/>
      <c r="U16" s="23">
        <v>6.16</v>
      </c>
      <c r="V16" s="24">
        <v>7.4</v>
      </c>
      <c r="W16" s="25">
        <v>8.9600000000000009</v>
      </c>
    </row>
    <row r="17" spans="1:24" x14ac:dyDescent="0.2">
      <c r="A17" s="320">
        <v>3</v>
      </c>
      <c r="B17" s="321" t="s">
        <v>41</v>
      </c>
      <c r="C17" s="313"/>
      <c r="D17" s="313"/>
      <c r="E17" s="313"/>
      <c r="F17" s="313"/>
      <c r="G17" s="313"/>
      <c r="H17" s="323"/>
      <c r="I17" s="324">
        <v>5.5999999999999999E-3</v>
      </c>
      <c r="P17" s="393" t="s">
        <v>44</v>
      </c>
      <c r="Q17" s="394"/>
      <c r="R17" s="394"/>
      <c r="S17" s="394"/>
      <c r="T17" s="395"/>
      <c r="U17" s="27">
        <v>13.15</v>
      </c>
      <c r="V17" s="28">
        <v>13.15</v>
      </c>
      <c r="W17" s="27">
        <v>13.15</v>
      </c>
      <c r="X17" s="29"/>
    </row>
    <row r="18" spans="1:24" x14ac:dyDescent="0.2">
      <c r="A18" s="320">
        <v>4</v>
      </c>
      <c r="B18" s="321" t="s">
        <v>42</v>
      </c>
      <c r="C18" s="313"/>
      <c r="D18" s="313"/>
      <c r="E18" s="313"/>
      <c r="F18" s="313"/>
      <c r="G18" s="313"/>
      <c r="H18" s="323"/>
      <c r="I18" s="322">
        <v>8.5000000000000006E-3</v>
      </c>
    </row>
    <row r="19" spans="1:24" x14ac:dyDescent="0.2">
      <c r="A19" s="320">
        <v>5</v>
      </c>
      <c r="B19" s="321" t="s">
        <v>43</v>
      </c>
      <c r="C19" s="313"/>
      <c r="D19" s="313"/>
      <c r="E19" s="313"/>
      <c r="F19" s="313"/>
      <c r="G19" s="313"/>
      <c r="H19" s="323"/>
      <c r="I19" s="322">
        <v>3.5000000000000003E-2</v>
      </c>
    </row>
    <row r="20" spans="1:24" ht="13.5" thickBot="1" x14ac:dyDescent="0.25">
      <c r="A20" s="325">
        <v>6</v>
      </c>
      <c r="B20" s="326" t="s">
        <v>44</v>
      </c>
      <c r="C20" s="327"/>
      <c r="D20" s="327"/>
      <c r="E20" s="327"/>
      <c r="F20" s="327"/>
      <c r="G20" s="327"/>
      <c r="H20" s="328"/>
      <c r="I20" s="329">
        <f>I27</f>
        <v>8.1499999999999989E-2</v>
      </c>
    </row>
    <row r="21" spans="1:24" x14ac:dyDescent="0.2">
      <c r="A21" s="330"/>
      <c r="B21" s="313"/>
      <c r="C21" s="313"/>
      <c r="D21" s="313"/>
      <c r="E21" s="313"/>
      <c r="F21" s="313"/>
      <c r="G21" s="313"/>
      <c r="H21" s="313"/>
      <c r="I21" s="331"/>
    </row>
    <row r="22" spans="1:24" ht="13.5" thickBot="1" x14ac:dyDescent="0.25">
      <c r="A22" s="311" t="s">
        <v>4</v>
      </c>
      <c r="B22" s="312" t="s">
        <v>45</v>
      </c>
      <c r="C22" s="313"/>
      <c r="D22" s="313"/>
      <c r="E22" s="313"/>
      <c r="F22" s="313"/>
      <c r="G22" s="313"/>
      <c r="H22" s="313"/>
      <c r="I22" s="331"/>
    </row>
    <row r="23" spans="1:24" x14ac:dyDescent="0.2">
      <c r="A23" s="315" t="s">
        <v>1</v>
      </c>
      <c r="B23" s="316" t="s">
        <v>46</v>
      </c>
      <c r="C23" s="317"/>
      <c r="D23" s="317"/>
      <c r="E23" s="317"/>
      <c r="F23" s="317"/>
      <c r="G23" s="317"/>
      <c r="H23" s="317"/>
      <c r="I23" s="319"/>
    </row>
    <row r="24" spans="1:24" x14ac:dyDescent="0.2">
      <c r="A24" s="320" t="s">
        <v>2</v>
      </c>
      <c r="B24" s="321" t="s">
        <v>47</v>
      </c>
      <c r="C24" s="313"/>
      <c r="D24" s="313"/>
      <c r="E24" s="313"/>
      <c r="F24" s="313"/>
      <c r="G24" s="313"/>
      <c r="H24" s="313"/>
      <c r="I24" s="322">
        <v>6.4999999999999997E-3</v>
      </c>
    </row>
    <row r="25" spans="1:24" x14ac:dyDescent="0.2">
      <c r="A25" s="320" t="s">
        <v>3</v>
      </c>
      <c r="B25" s="321" t="s">
        <v>48</v>
      </c>
      <c r="C25" s="313"/>
      <c r="D25" s="313"/>
      <c r="E25" s="313"/>
      <c r="F25" s="313"/>
      <c r="G25" s="313"/>
      <c r="H25" s="313"/>
      <c r="I25" s="322">
        <v>0.03</v>
      </c>
    </row>
    <row r="26" spans="1:24" ht="13.5" thickBot="1" x14ac:dyDescent="0.25">
      <c r="A26" s="320" t="s">
        <v>49</v>
      </c>
      <c r="B26" s="321" t="s">
        <v>50</v>
      </c>
      <c r="C26" s="313"/>
      <c r="D26" s="313"/>
      <c r="E26" s="313"/>
      <c r="F26" s="313"/>
      <c r="G26" s="313"/>
      <c r="H26" s="313"/>
      <c r="I26" s="329">
        <v>4.4999999999999998E-2</v>
      </c>
    </row>
    <row r="27" spans="1:24" ht="13.5" thickBot="1" x14ac:dyDescent="0.25">
      <c r="A27" s="332"/>
      <c r="B27" s="333"/>
      <c r="C27" s="333"/>
      <c r="D27" s="333"/>
      <c r="E27" s="333"/>
      <c r="F27" s="333"/>
      <c r="G27" s="474" t="s">
        <v>51</v>
      </c>
      <c r="H27" s="475"/>
      <c r="I27" s="334">
        <f>SUM(I23:I26)</f>
        <v>8.1499999999999989E-2</v>
      </c>
    </row>
    <row r="28" spans="1:24" ht="13.5" thickBot="1" x14ac:dyDescent="0.25">
      <c r="A28" s="476" t="s">
        <v>52</v>
      </c>
      <c r="B28" s="477"/>
      <c r="C28" s="477"/>
      <c r="D28" s="477"/>
      <c r="E28" s="477"/>
      <c r="F28" s="477"/>
      <c r="G28" s="477"/>
      <c r="H28" s="477"/>
      <c r="I28" s="478"/>
    </row>
    <row r="29" spans="1:24" ht="55.15" customHeight="1" thickBot="1" x14ac:dyDescent="0.25">
      <c r="A29" s="479"/>
      <c r="B29" s="480"/>
      <c r="C29" s="480"/>
      <c r="D29" s="480"/>
      <c r="E29" s="480"/>
      <c r="F29" s="480"/>
      <c r="G29" s="480"/>
      <c r="H29" s="481"/>
      <c r="I29" s="335">
        <f>(((1+I15+I16+I17)*(1+I18)*(1+I19))/(1-I20))-1</f>
        <v>0.16323475340228599</v>
      </c>
    </row>
    <row r="30" spans="1:24" ht="9" customHeight="1" x14ac:dyDescent="0.2">
      <c r="A30" s="336"/>
      <c r="B30" s="337"/>
      <c r="C30" s="337"/>
      <c r="D30" s="337"/>
      <c r="E30" s="337"/>
      <c r="F30" s="337"/>
      <c r="G30" s="337"/>
      <c r="H30" s="337"/>
      <c r="I30" s="338"/>
    </row>
    <row r="31" spans="1:24" ht="15" customHeight="1" x14ac:dyDescent="0.2">
      <c r="A31" s="339" t="s">
        <v>53</v>
      </c>
      <c r="I31" s="340"/>
    </row>
    <row r="32" spans="1:24" x14ac:dyDescent="0.2">
      <c r="A32" s="341" t="s">
        <v>348</v>
      </c>
      <c r="B32" s="93"/>
      <c r="C32" s="93"/>
      <c r="D32" s="93"/>
      <c r="E32" s="93"/>
      <c r="F32" s="93"/>
      <c r="G32" s="93"/>
      <c r="H32" s="342"/>
      <c r="I32" s="340"/>
    </row>
    <row r="33" spans="1:9" ht="19.5" customHeight="1" x14ac:dyDescent="0.2">
      <c r="A33" s="341" t="s">
        <v>55</v>
      </c>
      <c r="B33" s="343"/>
      <c r="C33" s="343"/>
      <c r="D33" s="343"/>
      <c r="E33" s="343"/>
      <c r="F33" s="343"/>
      <c r="G33" s="343"/>
      <c r="H33" s="343"/>
      <c r="I33" s="340"/>
    </row>
    <row r="34" spans="1:9" x14ac:dyDescent="0.2">
      <c r="A34" s="344" t="s">
        <v>56</v>
      </c>
      <c r="B34" s="345"/>
      <c r="C34" s="345"/>
      <c r="D34" s="345"/>
      <c r="E34" s="345"/>
      <c r="F34" s="345"/>
      <c r="G34" s="345"/>
      <c r="H34" s="345"/>
      <c r="I34" s="340"/>
    </row>
    <row r="35" spans="1:9" ht="15" customHeight="1" x14ac:dyDescent="0.2">
      <c r="A35" s="341" t="s">
        <v>361</v>
      </c>
      <c r="B35" s="345"/>
      <c r="C35" s="345"/>
      <c r="D35" s="345"/>
      <c r="E35" s="345"/>
      <c r="F35" s="345"/>
      <c r="G35" s="345"/>
      <c r="H35" s="345"/>
      <c r="I35" s="346"/>
    </row>
    <row r="36" spans="1:9" ht="38.25" customHeight="1" x14ac:dyDescent="0.2">
      <c r="A36" s="482" t="s">
        <v>349</v>
      </c>
      <c r="B36" s="483"/>
      <c r="C36" s="483"/>
      <c r="D36" s="483"/>
      <c r="E36" s="483"/>
      <c r="F36" s="483"/>
      <c r="G36" s="483"/>
      <c r="H36" s="483"/>
      <c r="I36" s="484"/>
    </row>
    <row r="37" spans="1:9" ht="15" customHeight="1" x14ac:dyDescent="0.2">
      <c r="A37" s="482" t="s">
        <v>350</v>
      </c>
      <c r="B37" s="483"/>
      <c r="C37" s="483"/>
      <c r="D37" s="483"/>
      <c r="E37" s="483"/>
      <c r="F37" s="483"/>
      <c r="G37" s="483"/>
      <c r="H37" s="483"/>
      <c r="I37" s="484"/>
    </row>
    <row r="38" spans="1:9" x14ac:dyDescent="0.2">
      <c r="A38" s="347"/>
      <c r="B38" s="345"/>
      <c r="C38" s="345"/>
      <c r="D38" s="345"/>
      <c r="E38" s="345"/>
      <c r="F38" s="345"/>
      <c r="G38" s="345"/>
      <c r="H38" s="345"/>
      <c r="I38" s="346"/>
    </row>
    <row r="39" spans="1:9" ht="13.5" thickBot="1" x14ac:dyDescent="0.25">
      <c r="A39" s="304"/>
      <c r="B39" s="305"/>
      <c r="C39" s="305"/>
      <c r="D39" s="305"/>
      <c r="E39" s="305"/>
      <c r="F39" s="305"/>
      <c r="G39" s="305"/>
      <c r="H39" s="305"/>
      <c r="I39" s="306"/>
    </row>
    <row r="40" spans="1:9" x14ac:dyDescent="0.2">
      <c r="A40" s="348"/>
      <c r="B40" s="348"/>
      <c r="C40" s="348"/>
      <c r="D40" s="348"/>
      <c r="E40" s="348"/>
      <c r="F40" s="348"/>
      <c r="G40" s="348"/>
      <c r="H40" s="348"/>
      <c r="I40" s="348"/>
    </row>
    <row r="41" spans="1:9" x14ac:dyDescent="0.2">
      <c r="A41" s="348"/>
      <c r="B41" s="348"/>
      <c r="C41" s="348"/>
      <c r="D41" s="348"/>
      <c r="E41" s="348"/>
      <c r="F41" s="348"/>
      <c r="G41" s="348"/>
      <c r="H41" s="348"/>
      <c r="I41" s="348"/>
    </row>
    <row r="42" spans="1:9" x14ac:dyDescent="0.2">
      <c r="A42" s="348"/>
      <c r="B42" s="348"/>
      <c r="C42" s="348"/>
      <c r="D42" s="348"/>
      <c r="E42" s="348"/>
      <c r="F42" s="348"/>
      <c r="G42" s="348"/>
      <c r="H42" s="348"/>
      <c r="I42" s="348"/>
    </row>
    <row r="43" spans="1:9" x14ac:dyDescent="0.2">
      <c r="A43" s="348"/>
      <c r="B43" s="348"/>
      <c r="C43" s="348"/>
      <c r="D43" s="348"/>
      <c r="E43" s="348"/>
      <c r="F43" s="348"/>
      <c r="G43" s="348"/>
      <c r="H43" s="348"/>
      <c r="I43" s="348"/>
    </row>
    <row r="44" spans="1:9" x14ac:dyDescent="0.2">
      <c r="A44" s="348"/>
      <c r="B44" s="348"/>
      <c r="C44" s="348"/>
      <c r="D44" s="348"/>
      <c r="E44" s="348"/>
      <c r="F44" s="348"/>
      <c r="G44" s="348"/>
      <c r="H44" s="348"/>
      <c r="I44" s="348"/>
    </row>
    <row r="45" spans="1:9" x14ac:dyDescent="0.2">
      <c r="A45" s="348"/>
      <c r="B45" s="348"/>
      <c r="C45" s="348"/>
      <c r="D45" s="348"/>
      <c r="E45" s="348"/>
      <c r="F45" s="348"/>
      <c r="G45" s="348"/>
      <c r="H45" s="348"/>
      <c r="I45" s="348"/>
    </row>
    <row r="46" spans="1:9" x14ac:dyDescent="0.2">
      <c r="A46" s="348"/>
      <c r="B46" s="348"/>
      <c r="C46" s="348"/>
      <c r="D46" s="348"/>
      <c r="E46" s="348"/>
      <c r="F46" s="348"/>
      <c r="G46" s="348"/>
      <c r="H46" s="348"/>
      <c r="I46" s="348"/>
    </row>
    <row r="47" spans="1:9" x14ac:dyDescent="0.2">
      <c r="A47" s="348"/>
      <c r="B47" s="348"/>
      <c r="C47" s="348"/>
      <c r="D47" s="348"/>
      <c r="E47" s="348"/>
      <c r="F47" s="348"/>
      <c r="G47" s="348"/>
      <c r="H47" s="348"/>
      <c r="I47" s="348"/>
    </row>
    <row r="48" spans="1:9" x14ac:dyDescent="0.2">
      <c r="A48" s="348"/>
      <c r="B48" s="348"/>
      <c r="C48" s="348"/>
      <c r="D48" s="348"/>
      <c r="E48" s="348"/>
      <c r="F48" s="348"/>
      <c r="G48" s="348"/>
      <c r="H48" s="348"/>
      <c r="I48" s="348"/>
    </row>
    <row r="49" spans="1:9" x14ac:dyDescent="0.2">
      <c r="A49" s="348"/>
      <c r="B49" s="348"/>
      <c r="C49" s="348"/>
      <c r="D49" s="348"/>
      <c r="E49" s="348"/>
      <c r="F49" s="348"/>
      <c r="G49" s="348"/>
      <c r="H49" s="348"/>
      <c r="I49" s="348"/>
    </row>
    <row r="50" spans="1:9" x14ac:dyDescent="0.2">
      <c r="A50" s="348"/>
      <c r="B50" s="348"/>
      <c r="C50" s="348"/>
      <c r="D50" s="348"/>
      <c r="E50" s="348"/>
      <c r="F50" s="348"/>
      <c r="G50" s="348"/>
      <c r="H50" s="348"/>
      <c r="I50" s="348"/>
    </row>
    <row r="51" spans="1:9" x14ac:dyDescent="0.2">
      <c r="A51" s="348"/>
      <c r="B51" s="348"/>
      <c r="C51" s="348"/>
      <c r="D51" s="348"/>
      <c r="E51" s="348"/>
      <c r="F51" s="348"/>
      <c r="G51" s="348"/>
      <c r="H51" s="348"/>
      <c r="I51" s="348"/>
    </row>
    <row r="52" spans="1:9" x14ac:dyDescent="0.2">
      <c r="A52" s="348"/>
      <c r="B52" s="348"/>
      <c r="C52" s="348"/>
      <c r="D52" s="348"/>
      <c r="E52" s="348"/>
      <c r="F52" s="348"/>
      <c r="G52" s="348"/>
      <c r="H52" s="348"/>
      <c r="I52" s="348"/>
    </row>
    <row r="53" spans="1:9" x14ac:dyDescent="0.2">
      <c r="A53" s="348"/>
      <c r="B53" s="348"/>
      <c r="C53" s="348"/>
      <c r="D53" s="348"/>
      <c r="E53" s="348"/>
      <c r="F53" s="348"/>
      <c r="G53" s="348"/>
      <c r="H53" s="348"/>
      <c r="I53" s="348"/>
    </row>
    <row r="54" spans="1:9" x14ac:dyDescent="0.2">
      <c r="A54" s="348"/>
      <c r="B54" s="348"/>
      <c r="C54" s="348"/>
      <c r="D54" s="348"/>
      <c r="E54" s="348"/>
      <c r="F54" s="348"/>
      <c r="G54" s="348"/>
      <c r="H54" s="348"/>
      <c r="I54" s="348"/>
    </row>
  </sheetData>
  <mergeCells count="32">
    <mergeCell ref="G27:H27"/>
    <mergeCell ref="A28:I28"/>
    <mergeCell ref="A29:H29"/>
    <mergeCell ref="A36:I36"/>
    <mergeCell ref="A37:I37"/>
    <mergeCell ref="P17:T17"/>
    <mergeCell ref="B9:D9"/>
    <mergeCell ref="E9:F9"/>
    <mergeCell ref="G9:I9"/>
    <mergeCell ref="A11:I11"/>
    <mergeCell ref="A12:I12"/>
    <mergeCell ref="P12:T12"/>
    <mergeCell ref="A13:I13"/>
    <mergeCell ref="P13:T13"/>
    <mergeCell ref="P14:T14"/>
    <mergeCell ref="P15:T15"/>
    <mergeCell ref="P16:T16"/>
    <mergeCell ref="B7:D7"/>
    <mergeCell ref="E7:F8"/>
    <mergeCell ref="G7:I8"/>
    <mergeCell ref="B8:D8"/>
    <mergeCell ref="A1:I1"/>
    <mergeCell ref="B2:E2"/>
    <mergeCell ref="F2:G2"/>
    <mergeCell ref="H2:I2"/>
    <mergeCell ref="B3:I3"/>
    <mergeCell ref="B4:I4"/>
    <mergeCell ref="B5:D5"/>
    <mergeCell ref="E5:F6"/>
    <mergeCell ref="G5:I5"/>
    <mergeCell ref="B6:D6"/>
    <mergeCell ref="G6:I6"/>
  </mergeCells>
  <pageMargins left="0.511811024" right="0.511811024" top="0.78740157499999996" bottom="0.78740157499999996" header="0.31496062000000002" footer="0.31496062000000002"/>
  <pageSetup paperSize="9" scale="84" orientation="portrait" r:id="rId1"/>
  <rowBreaks count="1" manualBreakCount="1">
    <brk id="3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showGridLines="0" view="pageBreakPreview" topLeftCell="A7" zoomScale="86" zoomScaleNormal="100" zoomScaleSheetLayoutView="86" workbookViewId="0">
      <selection activeCell="A24" sqref="A24:H24"/>
    </sheetView>
  </sheetViews>
  <sheetFormatPr defaultRowHeight="12.75" x14ac:dyDescent="0.2"/>
  <cols>
    <col min="1" max="1" width="19.42578125" bestFit="1" customWidth="1"/>
    <col min="2" max="2" width="63.140625" bestFit="1" customWidth="1"/>
    <col min="3" max="3" width="9" bestFit="1" customWidth="1"/>
    <col min="4" max="4" width="9.5703125" bestFit="1" customWidth="1"/>
    <col min="5" max="5" width="13" customWidth="1"/>
    <col min="6" max="6" width="9.5703125" customWidth="1"/>
  </cols>
  <sheetData>
    <row r="1" spans="1:12" ht="69.95" customHeight="1" x14ac:dyDescent="0.2">
      <c r="A1" s="102"/>
      <c r="B1" s="506" t="str">
        <f>ORÇAMENTO!B1</f>
        <v>ESTADO DO PARÁ
PREFEITURA MUNICIPAL DE ULIANÓPOLIS
CNPJ: 83.334.672/0001-60</v>
      </c>
      <c r="C1" s="506"/>
      <c r="D1" s="506"/>
      <c r="E1" s="506"/>
      <c r="F1" s="506"/>
      <c r="G1" s="108"/>
      <c r="H1" s="108"/>
      <c r="I1" s="108"/>
      <c r="J1" s="108"/>
      <c r="K1" s="109"/>
      <c r="L1" s="109"/>
    </row>
    <row r="2" spans="1:12" ht="25.9" customHeight="1" x14ac:dyDescent="0.2">
      <c r="A2" s="114" t="s">
        <v>59</v>
      </c>
      <c r="B2" s="103" t="str">
        <f>ORÇAMENTO!B2</f>
        <v>PREFEITURA MUNICÍPAL DE ULIANÓPOLIS</v>
      </c>
      <c r="C2" s="447" t="s">
        <v>64</v>
      </c>
      <c r="D2" s="448"/>
      <c r="E2" s="511" t="str">
        <f>ORÇAMENTO!G2</f>
        <v>ULIANÓPOLIS/PA</v>
      </c>
      <c r="F2" s="512"/>
      <c r="J2" s="93"/>
    </row>
    <row r="3" spans="1:12" ht="32.25" customHeight="1" x14ac:dyDescent="0.2">
      <c r="A3" s="114" t="s">
        <v>60</v>
      </c>
      <c r="B3" s="264" t="str">
        <f>ORÇAMENTO!B3</f>
        <v>CONSTRUÇÃO DO MONUMENTO SAGRADO CORAÇÃO DE JESUS NO MUNICÍPIO DE ULIANÓPOLIS/PA</v>
      </c>
      <c r="C3" s="513" t="str">
        <f>ORÇAMENTO!E3</f>
        <v>Data Base:</v>
      </c>
      <c r="D3" s="513"/>
      <c r="E3" s="516" t="str">
        <f>ORÇAMENTO!G3</f>
        <v>SINAPI ABRIL 2024 - DESONERADA</v>
      </c>
      <c r="F3" s="516"/>
      <c r="G3" s="110"/>
      <c r="J3" s="93"/>
    </row>
    <row r="4" spans="1:12" ht="31.5" customHeight="1" x14ac:dyDescent="0.2">
      <c r="A4" s="114" t="s">
        <v>133</v>
      </c>
      <c r="B4" s="104" t="str">
        <f>ORÇAMENTO!B4</f>
        <v>ULINANÓPOLIS/PA</v>
      </c>
      <c r="C4" s="513"/>
      <c r="D4" s="513"/>
      <c r="E4" s="514" t="str">
        <f>ORÇAMENTO!G4</f>
        <v>SEOP ABRIL 2024 - DESONERADA</v>
      </c>
      <c r="F4" s="515"/>
      <c r="G4" s="111"/>
      <c r="H4" s="111"/>
      <c r="I4" s="111"/>
      <c r="J4" s="93"/>
    </row>
    <row r="5" spans="1:12" ht="22.5" customHeight="1" x14ac:dyDescent="0.2">
      <c r="A5" s="95" t="str">
        <f>ORÇAMENTO!A5</f>
        <v xml:space="preserve">Valor: </v>
      </c>
      <c r="B5" s="265">
        <f>ORÇAMENTO!B5</f>
        <v>215716.49</v>
      </c>
      <c r="C5" s="517" t="str">
        <f>ORÇAMENTO!E5</f>
        <v>BDI Serviços:</v>
      </c>
      <c r="D5" s="517"/>
      <c r="E5" s="487">
        <f>ORÇAMENTO!G5</f>
        <v>0.29769428939090381</v>
      </c>
      <c r="F5" s="488"/>
      <c r="G5" s="112"/>
      <c r="H5" s="112"/>
      <c r="I5" s="112"/>
      <c r="J5" s="93"/>
    </row>
    <row r="6" spans="1:12" ht="22.5" customHeight="1" x14ac:dyDescent="0.2">
      <c r="A6" s="485" t="s">
        <v>62</v>
      </c>
      <c r="B6" s="504" t="str">
        <f>ORÇAMENTO!B7</f>
        <v>Maruza Baptista</v>
      </c>
      <c r="C6" s="517" t="str">
        <f>ORÇAMENTO!E7</f>
        <v>Data:</v>
      </c>
      <c r="D6" s="517"/>
      <c r="E6" s="518">
        <f ca="1">ORÇAMENTO!G7</f>
        <v>45556</v>
      </c>
      <c r="F6" s="519"/>
      <c r="G6" s="112"/>
      <c r="H6" s="112"/>
      <c r="I6" s="112"/>
      <c r="J6" s="94"/>
    </row>
    <row r="7" spans="1:12" ht="27" customHeight="1" x14ac:dyDescent="0.2">
      <c r="A7" s="486"/>
      <c r="B7" s="505"/>
      <c r="C7" s="507" t="s">
        <v>63</v>
      </c>
      <c r="D7" s="508"/>
      <c r="E7" s="509" t="str">
        <f>ORÇAMENTO!G8</f>
        <v>CAU: 28510-2 A</v>
      </c>
      <c r="F7" s="510"/>
      <c r="G7" s="113"/>
      <c r="H7" s="113"/>
      <c r="I7" s="113"/>
      <c r="J7" s="93"/>
    </row>
    <row r="8" spans="1:12" ht="13.5" thickBot="1" x14ac:dyDescent="0.25"/>
    <row r="9" spans="1:12" x14ac:dyDescent="0.2">
      <c r="A9" s="491" t="s">
        <v>65</v>
      </c>
      <c r="B9" s="492"/>
      <c r="C9" s="492"/>
      <c r="D9" s="492"/>
      <c r="E9" s="492"/>
      <c r="F9" s="493"/>
    </row>
    <row r="10" spans="1:12" x14ac:dyDescent="0.2">
      <c r="A10" s="494" t="s">
        <v>66</v>
      </c>
      <c r="B10" s="495" t="s">
        <v>13</v>
      </c>
      <c r="C10" s="496" t="s">
        <v>67</v>
      </c>
      <c r="D10" s="496"/>
      <c r="E10" s="496" t="s">
        <v>68</v>
      </c>
      <c r="F10" s="497"/>
    </row>
    <row r="11" spans="1:12" ht="25.5" x14ac:dyDescent="0.2">
      <c r="A11" s="494"/>
      <c r="B11" s="495"/>
      <c r="C11" s="13" t="s">
        <v>69</v>
      </c>
      <c r="D11" s="13" t="s">
        <v>70</v>
      </c>
      <c r="E11" s="13" t="s">
        <v>69</v>
      </c>
      <c r="F11" s="48" t="s">
        <v>70</v>
      </c>
    </row>
    <row r="12" spans="1:12" x14ac:dyDescent="0.2">
      <c r="A12" s="498" t="s">
        <v>71</v>
      </c>
      <c r="B12" s="499"/>
      <c r="C12" s="499"/>
      <c r="D12" s="499"/>
      <c r="E12" s="499"/>
      <c r="F12" s="500"/>
    </row>
    <row r="13" spans="1:12" x14ac:dyDescent="0.2">
      <c r="A13" s="49" t="s">
        <v>72</v>
      </c>
      <c r="B13" s="35" t="s">
        <v>73</v>
      </c>
      <c r="C13" s="36">
        <v>0</v>
      </c>
      <c r="D13" s="36">
        <v>0</v>
      </c>
      <c r="E13" s="36">
        <v>0.2</v>
      </c>
      <c r="F13" s="50">
        <v>0.2</v>
      </c>
    </row>
    <row r="14" spans="1:12" x14ac:dyDescent="0.2">
      <c r="A14" s="49" t="s">
        <v>74</v>
      </c>
      <c r="B14" s="35" t="s">
        <v>75</v>
      </c>
      <c r="C14" s="36">
        <v>1.4999999999999999E-2</v>
      </c>
      <c r="D14" s="36">
        <v>1.4999999999999999E-2</v>
      </c>
      <c r="E14" s="36">
        <v>1.4999999999999999E-2</v>
      </c>
      <c r="F14" s="50">
        <v>1.4999999999999999E-2</v>
      </c>
    </row>
    <row r="15" spans="1:12" x14ac:dyDescent="0.2">
      <c r="A15" s="49" t="s">
        <v>76</v>
      </c>
      <c r="B15" s="35" t="s">
        <v>77</v>
      </c>
      <c r="C15" s="36">
        <v>0.01</v>
      </c>
      <c r="D15" s="36">
        <v>0.01</v>
      </c>
      <c r="E15" s="36">
        <v>0.01</v>
      </c>
      <c r="F15" s="50">
        <v>0.01</v>
      </c>
    </row>
    <row r="16" spans="1:12" x14ac:dyDescent="0.2">
      <c r="A16" s="49" t="s">
        <v>78</v>
      </c>
      <c r="B16" s="35" t="s">
        <v>79</v>
      </c>
      <c r="C16" s="36">
        <v>2E-3</v>
      </c>
      <c r="D16" s="36">
        <v>2E-3</v>
      </c>
      <c r="E16" s="36">
        <v>2E-3</v>
      </c>
      <c r="F16" s="50">
        <v>2E-3</v>
      </c>
    </row>
    <row r="17" spans="1:6" x14ac:dyDescent="0.2">
      <c r="A17" s="49" t="s">
        <v>80</v>
      </c>
      <c r="B17" s="35" t="s">
        <v>81</v>
      </c>
      <c r="C17" s="36">
        <v>6.0000000000000001E-3</v>
      </c>
      <c r="D17" s="36">
        <v>6.0000000000000001E-3</v>
      </c>
      <c r="E17" s="36">
        <v>6.0000000000000001E-3</v>
      </c>
      <c r="F17" s="50">
        <v>6.0000000000000001E-3</v>
      </c>
    </row>
    <row r="18" spans="1:6" x14ac:dyDescent="0.2">
      <c r="A18" s="49" t="s">
        <v>82</v>
      </c>
      <c r="B18" s="35" t="s">
        <v>83</v>
      </c>
      <c r="C18" s="36">
        <v>2.5000000000000001E-2</v>
      </c>
      <c r="D18" s="36">
        <v>2.5000000000000001E-2</v>
      </c>
      <c r="E18" s="36">
        <v>2.5000000000000001E-2</v>
      </c>
      <c r="F18" s="50">
        <v>2.5000000000000001E-2</v>
      </c>
    </row>
    <row r="19" spans="1:6" x14ac:dyDescent="0.2">
      <c r="A19" s="49" t="s">
        <v>84</v>
      </c>
      <c r="B19" s="4" t="s">
        <v>85</v>
      </c>
      <c r="C19" s="36">
        <v>0.03</v>
      </c>
      <c r="D19" s="36">
        <v>0.03</v>
      </c>
      <c r="E19" s="37">
        <v>0.03</v>
      </c>
      <c r="F19" s="51">
        <v>0.03</v>
      </c>
    </row>
    <row r="20" spans="1:6" x14ac:dyDescent="0.2">
      <c r="A20" s="49" t="s">
        <v>86</v>
      </c>
      <c r="B20" s="35" t="s">
        <v>87</v>
      </c>
      <c r="C20" s="36">
        <v>0.08</v>
      </c>
      <c r="D20" s="36">
        <v>0.08</v>
      </c>
      <c r="E20" s="36">
        <v>0.08</v>
      </c>
      <c r="F20" s="50">
        <v>0.08</v>
      </c>
    </row>
    <row r="21" spans="1:6" x14ac:dyDescent="0.2">
      <c r="A21" s="49" t="s">
        <v>88</v>
      </c>
      <c r="B21" s="35" t="s">
        <v>89</v>
      </c>
      <c r="C21" s="36">
        <v>0</v>
      </c>
      <c r="D21" s="36">
        <v>0</v>
      </c>
      <c r="E21" s="36">
        <v>0</v>
      </c>
      <c r="F21" s="50">
        <v>0</v>
      </c>
    </row>
    <row r="22" spans="1:6" x14ac:dyDescent="0.2">
      <c r="A22" s="52" t="s">
        <v>90</v>
      </c>
      <c r="B22" s="38" t="s">
        <v>29</v>
      </c>
      <c r="C22" s="39">
        <f>SUM(C13:C21)</f>
        <v>0.16799999999999998</v>
      </c>
      <c r="D22" s="39">
        <f>SUM(D13:D21)</f>
        <v>0.16799999999999998</v>
      </c>
      <c r="E22" s="39">
        <f>SUM(E13:E21)</f>
        <v>0.36800000000000005</v>
      </c>
      <c r="F22" s="53">
        <f>SUM(F13:F21)</f>
        <v>0.36800000000000005</v>
      </c>
    </row>
    <row r="23" spans="1:6" x14ac:dyDescent="0.2">
      <c r="A23" s="498" t="s">
        <v>91</v>
      </c>
      <c r="B23" s="499"/>
      <c r="C23" s="499"/>
      <c r="D23" s="499"/>
      <c r="E23" s="499"/>
      <c r="F23" s="500"/>
    </row>
    <row r="24" spans="1:6" x14ac:dyDescent="0.2">
      <c r="A24" s="49" t="s">
        <v>92</v>
      </c>
      <c r="B24" s="35" t="s">
        <v>93</v>
      </c>
      <c r="C24" s="36">
        <v>0.18110000000000001</v>
      </c>
      <c r="D24" s="40" t="s">
        <v>94</v>
      </c>
      <c r="E24" s="36">
        <v>0.18110000000000001</v>
      </c>
      <c r="F24" s="54" t="s">
        <v>94</v>
      </c>
    </row>
    <row r="25" spans="1:6" x14ac:dyDescent="0.2">
      <c r="A25" s="49" t="s">
        <v>95</v>
      </c>
      <c r="B25" s="4" t="s">
        <v>96</v>
      </c>
      <c r="C25" s="36">
        <v>4.1500000000000002E-2</v>
      </c>
      <c r="D25" s="40" t="s">
        <v>94</v>
      </c>
      <c r="E25" s="36">
        <v>4.1500000000000002E-2</v>
      </c>
      <c r="F25" s="54" t="s">
        <v>94</v>
      </c>
    </row>
    <row r="26" spans="1:6" x14ac:dyDescent="0.2">
      <c r="A26" s="49" t="s">
        <v>97</v>
      </c>
      <c r="B26" s="35" t="s">
        <v>98</v>
      </c>
      <c r="C26" s="36">
        <v>8.8999999999999999E-3</v>
      </c>
      <c r="D26" s="36">
        <v>6.7000000000000002E-3</v>
      </c>
      <c r="E26" s="36">
        <v>8.8999999999999999E-3</v>
      </c>
      <c r="F26" s="50">
        <v>6.7000000000000002E-3</v>
      </c>
    </row>
    <row r="27" spans="1:6" x14ac:dyDescent="0.2">
      <c r="A27" s="49" t="s">
        <v>99</v>
      </c>
      <c r="B27" s="35" t="s">
        <v>100</v>
      </c>
      <c r="C27" s="36">
        <v>0.10979999999999999</v>
      </c>
      <c r="D27" s="36">
        <v>8.3299999999999999E-2</v>
      </c>
      <c r="E27" s="36">
        <v>0.10979999999999999</v>
      </c>
      <c r="F27" s="50">
        <v>8.3299999999999999E-2</v>
      </c>
    </row>
    <row r="28" spans="1:6" x14ac:dyDescent="0.2">
      <c r="A28" s="49" t="s">
        <v>101</v>
      </c>
      <c r="B28" s="35" t="s">
        <v>102</v>
      </c>
      <c r="C28" s="36">
        <v>6.9999999999999999E-4</v>
      </c>
      <c r="D28" s="36">
        <v>5.9999999999999995E-4</v>
      </c>
      <c r="E28" s="36">
        <v>6.9999999999999999E-4</v>
      </c>
      <c r="F28" s="50">
        <v>5.9999999999999995E-4</v>
      </c>
    </row>
    <row r="29" spans="1:6" x14ac:dyDescent="0.2">
      <c r="A29" s="49" t="s">
        <v>103</v>
      </c>
      <c r="B29" s="35" t="s">
        <v>169</v>
      </c>
      <c r="C29" s="36">
        <v>7.3000000000000001E-3</v>
      </c>
      <c r="D29" s="36">
        <v>5.5999999999999999E-3</v>
      </c>
      <c r="E29" s="36">
        <v>7.3000000000000001E-3</v>
      </c>
      <c r="F29" s="50">
        <v>5.5999999999999999E-3</v>
      </c>
    </row>
    <row r="30" spans="1:6" x14ac:dyDescent="0.2">
      <c r="A30" s="49" t="s">
        <v>104</v>
      </c>
      <c r="B30" s="35" t="s">
        <v>105</v>
      </c>
      <c r="C30" s="36">
        <v>2.6800000000000001E-2</v>
      </c>
      <c r="D30" s="40" t="s">
        <v>94</v>
      </c>
      <c r="E30" s="36">
        <v>2.6800000000000001E-2</v>
      </c>
      <c r="F30" s="54" t="s">
        <v>94</v>
      </c>
    </row>
    <row r="31" spans="1:6" x14ac:dyDescent="0.2">
      <c r="A31" s="49" t="s">
        <v>106</v>
      </c>
      <c r="B31" s="35" t="s">
        <v>107</v>
      </c>
      <c r="C31" s="36">
        <v>1.1000000000000001E-3</v>
      </c>
      <c r="D31" s="36">
        <v>8.0000000000000004E-4</v>
      </c>
      <c r="E31" s="36">
        <v>1.1000000000000001E-3</v>
      </c>
      <c r="F31" s="50">
        <v>8.0000000000000004E-4</v>
      </c>
    </row>
    <row r="32" spans="1:6" x14ac:dyDescent="0.2">
      <c r="A32" s="49" t="s">
        <v>108</v>
      </c>
      <c r="B32" s="35" t="s">
        <v>109</v>
      </c>
      <c r="C32" s="36">
        <v>9.2700000000000005E-2</v>
      </c>
      <c r="D32" s="36">
        <v>7.0300000000000001E-2</v>
      </c>
      <c r="E32" s="36">
        <v>9.2700000000000005E-2</v>
      </c>
      <c r="F32" s="50">
        <v>7.0300000000000001E-2</v>
      </c>
    </row>
    <row r="33" spans="1:6" x14ac:dyDescent="0.2">
      <c r="A33" s="49" t="s">
        <v>110</v>
      </c>
      <c r="B33" s="35" t="s">
        <v>111</v>
      </c>
      <c r="C33" s="36">
        <v>2.9999999999999997E-4</v>
      </c>
      <c r="D33" s="36">
        <v>2.9999999999999997E-4</v>
      </c>
      <c r="E33" s="36">
        <v>2.9999999999999997E-4</v>
      </c>
      <c r="F33" s="50">
        <v>2.9999999999999997E-4</v>
      </c>
    </row>
    <row r="34" spans="1:6" x14ac:dyDescent="0.2">
      <c r="A34" s="55" t="s">
        <v>112</v>
      </c>
      <c r="B34" s="41" t="s">
        <v>29</v>
      </c>
      <c r="C34" s="42">
        <f>SUM(C24:C33)</f>
        <v>0.47019999999999995</v>
      </c>
      <c r="D34" s="42">
        <f>SUM(D24:D33)</f>
        <v>0.1676</v>
      </c>
      <c r="E34" s="42">
        <f>SUM(E24:E33)</f>
        <v>0.47019999999999995</v>
      </c>
      <c r="F34" s="56">
        <f>SUM(F24:F33)</f>
        <v>0.1676</v>
      </c>
    </row>
    <row r="35" spans="1:6" x14ac:dyDescent="0.2">
      <c r="A35" s="501" t="s">
        <v>113</v>
      </c>
      <c r="B35" s="502"/>
      <c r="C35" s="502"/>
      <c r="D35" s="502"/>
      <c r="E35" s="502"/>
      <c r="F35" s="503"/>
    </row>
    <row r="36" spans="1:6" x14ac:dyDescent="0.2">
      <c r="A36" s="57" t="s">
        <v>114</v>
      </c>
      <c r="B36" s="43" t="s">
        <v>115</v>
      </c>
      <c r="C36" s="44">
        <v>5.6899999999999999E-2</v>
      </c>
      <c r="D36" s="44">
        <v>4.3200000000000002E-2</v>
      </c>
      <c r="E36" s="44">
        <v>5.6899999999999999E-2</v>
      </c>
      <c r="F36" s="58">
        <v>4.3200000000000002E-2</v>
      </c>
    </row>
    <row r="37" spans="1:6" x14ac:dyDescent="0.2">
      <c r="A37" s="49" t="s">
        <v>116</v>
      </c>
      <c r="B37" s="35" t="s">
        <v>117</v>
      </c>
      <c r="C37" s="36">
        <v>1.2999999999999999E-3</v>
      </c>
      <c r="D37" s="36">
        <v>1E-3</v>
      </c>
      <c r="E37" s="36">
        <v>1.2999999999999999E-3</v>
      </c>
      <c r="F37" s="50">
        <v>1E-3</v>
      </c>
    </row>
    <row r="38" spans="1:6" x14ac:dyDescent="0.2">
      <c r="A38" s="49" t="s">
        <v>118</v>
      </c>
      <c r="B38" s="35" t="s">
        <v>119</v>
      </c>
      <c r="C38" s="36">
        <v>4.4699999999999997E-2</v>
      </c>
      <c r="D38" s="36">
        <v>3.39E-2</v>
      </c>
      <c r="E38" s="36">
        <v>4.4699999999999997E-2</v>
      </c>
      <c r="F38" s="50">
        <v>3.39E-2</v>
      </c>
    </row>
    <row r="39" spans="1:6" x14ac:dyDescent="0.2">
      <c r="A39" s="49" t="s">
        <v>120</v>
      </c>
      <c r="B39" s="35" t="s">
        <v>121</v>
      </c>
      <c r="C39" s="36">
        <v>3.9300000000000002E-2</v>
      </c>
      <c r="D39" s="36">
        <v>2.98E-2</v>
      </c>
      <c r="E39" s="36">
        <v>3.9300000000000002E-2</v>
      </c>
      <c r="F39" s="50">
        <v>2.98E-2</v>
      </c>
    </row>
    <row r="40" spans="1:6" x14ac:dyDescent="0.2">
      <c r="A40" s="49" t="s">
        <v>122</v>
      </c>
      <c r="B40" s="35" t="s">
        <v>123</v>
      </c>
      <c r="C40" s="36">
        <v>4.7999999999999996E-3</v>
      </c>
      <c r="D40" s="36">
        <v>3.5999999999999999E-3</v>
      </c>
      <c r="E40" s="36">
        <v>4.7999999999999996E-3</v>
      </c>
      <c r="F40" s="50">
        <v>3.5999999999999999E-3</v>
      </c>
    </row>
    <row r="41" spans="1:6" x14ac:dyDescent="0.2">
      <c r="A41" s="55" t="s">
        <v>124</v>
      </c>
      <c r="B41" s="41" t="s">
        <v>29</v>
      </c>
      <c r="C41" s="42">
        <f>SUM(C36:C40)</f>
        <v>0.14699999999999999</v>
      </c>
      <c r="D41" s="42">
        <f>SUM(D36:D40)</f>
        <v>0.1115</v>
      </c>
      <c r="E41" s="42">
        <f>SUM(E36:E40)</f>
        <v>0.14699999999999999</v>
      </c>
      <c r="F41" s="56">
        <f>SUM(F36:F40)</f>
        <v>0.1115</v>
      </c>
    </row>
    <row r="42" spans="1:6" x14ac:dyDescent="0.2">
      <c r="A42" s="501" t="s">
        <v>125</v>
      </c>
      <c r="B42" s="502"/>
      <c r="C42" s="502"/>
      <c r="D42" s="502"/>
      <c r="E42" s="502"/>
      <c r="F42" s="503"/>
    </row>
    <row r="43" spans="1:6" x14ac:dyDescent="0.2">
      <c r="A43" s="57" t="s">
        <v>126</v>
      </c>
      <c r="B43" s="43" t="s">
        <v>127</v>
      </c>
      <c r="C43" s="44">
        <v>7.9000000000000001E-2</v>
      </c>
      <c r="D43" s="44">
        <v>2.8199999999999999E-2</v>
      </c>
      <c r="E43" s="44">
        <v>0.17299999999999999</v>
      </c>
      <c r="F43" s="58">
        <v>6.1699999999999998E-2</v>
      </c>
    </row>
    <row r="44" spans="1:6" ht="25.5" x14ac:dyDescent="0.2">
      <c r="A44" s="49" t="s">
        <v>128</v>
      </c>
      <c r="B44" s="45" t="s">
        <v>129</v>
      </c>
      <c r="C44" s="46">
        <v>4.7999999999999996E-3</v>
      </c>
      <c r="D44" s="46">
        <v>3.5999999999999999E-3</v>
      </c>
      <c r="E44" s="46">
        <v>5.0000000000000001E-3</v>
      </c>
      <c r="F44" s="59">
        <v>3.8E-3</v>
      </c>
    </row>
    <row r="45" spans="1:6" x14ac:dyDescent="0.2">
      <c r="A45" s="52" t="s">
        <v>130</v>
      </c>
      <c r="B45" s="38" t="s">
        <v>29</v>
      </c>
      <c r="C45" s="47">
        <f>SUM(C43:C44)</f>
        <v>8.3799999999999999E-2</v>
      </c>
      <c r="D45" s="47">
        <f>SUM(D43:D44)</f>
        <v>3.1800000000000002E-2</v>
      </c>
      <c r="E45" s="47">
        <f>SUM(E43:E44)</f>
        <v>0.17799999999999999</v>
      </c>
      <c r="F45" s="60">
        <f>SUM(F43:F44)</f>
        <v>6.5500000000000003E-2</v>
      </c>
    </row>
    <row r="46" spans="1:6" ht="13.5" thickBot="1" x14ac:dyDescent="0.25">
      <c r="A46" s="489" t="s">
        <v>131</v>
      </c>
      <c r="B46" s="490"/>
      <c r="C46" s="61">
        <f>C22+C34+C41+C45</f>
        <v>0.86899999999999988</v>
      </c>
      <c r="D46" s="61">
        <f>D22+D34+D41+D45</f>
        <v>0.47889999999999999</v>
      </c>
      <c r="E46" s="61">
        <f>E22+E34+E41+E45</f>
        <v>1.1632</v>
      </c>
      <c r="F46" s="62">
        <f>F22+F34+F41+F45</f>
        <v>0.71260000000000012</v>
      </c>
    </row>
  </sheetData>
  <mergeCells count="24">
    <mergeCell ref="C2:D2"/>
    <mergeCell ref="B6:B7"/>
    <mergeCell ref="B1:F1"/>
    <mergeCell ref="C7:D7"/>
    <mergeCell ref="E7:F7"/>
    <mergeCell ref="E2:F2"/>
    <mergeCell ref="C3:D4"/>
    <mergeCell ref="E4:F4"/>
    <mergeCell ref="E3:F3"/>
    <mergeCell ref="C5:D5"/>
    <mergeCell ref="C6:D6"/>
    <mergeCell ref="E6:F6"/>
    <mergeCell ref="A6:A7"/>
    <mergeCell ref="E5:F5"/>
    <mergeCell ref="A46:B46"/>
    <mergeCell ref="A9:F9"/>
    <mergeCell ref="A10:A11"/>
    <mergeCell ref="B10:B11"/>
    <mergeCell ref="C10:D10"/>
    <mergeCell ref="E10:F10"/>
    <mergeCell ref="A12:F12"/>
    <mergeCell ref="A23:F23"/>
    <mergeCell ref="A35:F35"/>
    <mergeCell ref="A42:F42"/>
  </mergeCells>
  <pageMargins left="0.39370078740157483" right="0.39370078740157483" top="0.78740157480314965" bottom="0.78740157480314965" header="0.31496062992125984" footer="0.31496062992125984"/>
  <pageSetup paperSize="9" scale="75" orientation="portrait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8"/>
  <sheetViews>
    <sheetView view="pageBreakPreview" zoomScale="56" zoomScaleNormal="80" zoomScaleSheetLayoutView="56" workbookViewId="0">
      <selection activeCell="A22" sqref="A22:H24"/>
    </sheetView>
  </sheetViews>
  <sheetFormatPr defaultRowHeight="12.75" x14ac:dyDescent="0.2"/>
  <cols>
    <col min="1" max="1" width="17" customWidth="1"/>
    <col min="2" max="2" width="84.5703125" customWidth="1"/>
    <col min="3" max="8" width="20.5703125" customWidth="1"/>
    <col min="9" max="9" width="31.42578125" customWidth="1"/>
    <col min="10" max="10" width="10.140625" bestFit="1" customWidth="1"/>
    <col min="12" max="12" width="12.5703125" bestFit="1" customWidth="1"/>
  </cols>
  <sheetData>
    <row r="1" spans="1:15" x14ac:dyDescent="0.2">
      <c r="A1" s="382"/>
      <c r="B1" s="520" t="str">
        <f>ORÇAMENTO!B1</f>
        <v>ESTADO DO PARÁ
PREFEITURA MUNICIPAL DE ULIANÓPOLIS
CNPJ: 83.334.672/0001-60</v>
      </c>
      <c r="C1" s="520"/>
      <c r="D1" s="520"/>
      <c r="E1" s="520"/>
      <c r="F1" s="520"/>
      <c r="G1" s="520"/>
      <c r="H1" s="520"/>
      <c r="I1" s="520"/>
    </row>
    <row r="2" spans="1:15" x14ac:dyDescent="0.2">
      <c r="A2" s="382"/>
      <c r="B2" s="520"/>
      <c r="C2" s="520"/>
      <c r="D2" s="520"/>
      <c r="E2" s="520"/>
      <c r="F2" s="520"/>
      <c r="G2" s="520"/>
      <c r="H2" s="520"/>
      <c r="I2" s="520"/>
    </row>
    <row r="3" spans="1:15" x14ac:dyDescent="0.2">
      <c r="A3" s="382"/>
      <c r="B3" s="520"/>
      <c r="C3" s="520"/>
      <c r="D3" s="520"/>
      <c r="E3" s="520"/>
      <c r="F3" s="520"/>
      <c r="G3" s="520"/>
      <c r="H3" s="520"/>
      <c r="I3" s="520"/>
    </row>
    <row r="4" spans="1:15" x14ac:dyDescent="0.2">
      <c r="A4" s="382"/>
      <c r="B4" s="520"/>
      <c r="C4" s="520"/>
      <c r="D4" s="520"/>
      <c r="E4" s="520"/>
      <c r="F4" s="520"/>
      <c r="G4" s="520"/>
      <c r="H4" s="520"/>
      <c r="I4" s="520"/>
    </row>
    <row r="5" spans="1:15" x14ac:dyDescent="0.2">
      <c r="A5" s="382"/>
      <c r="B5" s="520"/>
      <c r="C5" s="520"/>
      <c r="D5" s="520"/>
      <c r="E5" s="520"/>
      <c r="F5" s="520"/>
      <c r="G5" s="520"/>
      <c r="H5" s="520"/>
      <c r="I5" s="520"/>
    </row>
    <row r="6" spans="1:15" x14ac:dyDescent="0.2">
      <c r="A6" s="382"/>
      <c r="B6" s="520"/>
      <c r="C6" s="520"/>
      <c r="D6" s="520"/>
      <c r="E6" s="520"/>
      <c r="F6" s="520"/>
      <c r="G6" s="520"/>
      <c r="H6" s="520"/>
      <c r="I6" s="520"/>
    </row>
    <row r="7" spans="1:15" ht="21" customHeight="1" x14ac:dyDescent="0.2">
      <c r="A7" s="114" t="s">
        <v>59</v>
      </c>
      <c r="B7" s="546" t="str">
        <f>ORÇAMENTO!B2</f>
        <v>PREFEITURA MUNICÍPAL DE ULIANÓPOLIS</v>
      </c>
      <c r="C7" s="546"/>
      <c r="D7" s="546"/>
      <c r="E7" s="548" t="s">
        <v>135</v>
      </c>
      <c r="F7" s="549"/>
      <c r="G7" s="586" t="str">
        <f>ORÇAMENTO!G2</f>
        <v>ULIANÓPOLIS/PA</v>
      </c>
      <c r="H7" s="587"/>
      <c r="I7" s="588"/>
      <c r="J7" s="202"/>
      <c r="K7" s="200"/>
      <c r="L7" s="200"/>
      <c r="M7" s="200"/>
      <c r="N7" s="200"/>
      <c r="O7" s="200"/>
    </row>
    <row r="8" spans="1:15" ht="21" customHeight="1" x14ac:dyDescent="0.2">
      <c r="A8" s="114" t="s">
        <v>60</v>
      </c>
      <c r="B8" s="546" t="str">
        <f>ORÇAMENTO!B3</f>
        <v>CONSTRUÇÃO DO MONUMENTO SAGRADO CORAÇÃO DE JESUS NO MUNICÍPIO DE ULIANÓPOLIS/PA</v>
      </c>
      <c r="C8" s="546"/>
      <c r="D8" s="546"/>
      <c r="E8" s="596" t="str">
        <f>ORÇAMENTO!E3</f>
        <v>Data Base:</v>
      </c>
      <c r="F8" s="597"/>
      <c r="G8" s="589" t="str">
        <f>ORÇAMENTO!G3</f>
        <v>SINAPI ABRIL 2024 - DESONERADA</v>
      </c>
      <c r="H8" s="590"/>
      <c r="I8" s="591"/>
      <c r="J8" s="203"/>
      <c r="K8" s="201"/>
      <c r="L8" s="201"/>
      <c r="M8" s="201"/>
      <c r="N8" s="201"/>
      <c r="O8" s="201"/>
    </row>
    <row r="9" spans="1:15" ht="21" customHeight="1" x14ac:dyDescent="0.2">
      <c r="A9" s="114" t="s">
        <v>133</v>
      </c>
      <c r="B9" s="546" t="str">
        <f>ORÇAMENTO!B4</f>
        <v>ULINANÓPOLIS/PA</v>
      </c>
      <c r="C9" s="546"/>
      <c r="D9" s="546"/>
      <c r="E9" s="598"/>
      <c r="F9" s="599"/>
      <c r="G9" s="589" t="str">
        <f>ORÇAMENTO!G4</f>
        <v>SEOP ABRIL 2024 - DESONERADA</v>
      </c>
      <c r="H9" s="590"/>
      <c r="I9" s="591"/>
      <c r="J9" s="203"/>
      <c r="K9" s="201"/>
      <c r="L9" s="201"/>
      <c r="M9" s="201"/>
      <c r="N9" s="201"/>
      <c r="O9" s="201"/>
    </row>
    <row r="10" spans="1:15" ht="28.5" customHeight="1" x14ac:dyDescent="0.2">
      <c r="A10" s="95" t="s">
        <v>239</v>
      </c>
      <c r="B10" s="547">
        <f>ORÇAMENTO!B5</f>
        <v>215716.49</v>
      </c>
      <c r="C10" s="547"/>
      <c r="D10" s="547"/>
      <c r="E10" s="548" t="str">
        <f>ORÇAMENTO!E5</f>
        <v>BDI Serviços:</v>
      </c>
      <c r="F10" s="549"/>
      <c r="G10" s="592">
        <f>ORÇAMENTO!G5</f>
        <v>0.29769428939090381</v>
      </c>
      <c r="H10" s="593"/>
      <c r="I10" s="594"/>
      <c r="J10" s="204"/>
      <c r="K10" s="108"/>
      <c r="L10" s="108"/>
      <c r="M10" s="108"/>
      <c r="N10" s="108"/>
      <c r="O10" s="108"/>
    </row>
    <row r="11" spans="1:15" ht="24" customHeight="1" x14ac:dyDescent="0.2">
      <c r="A11" s="550" t="s">
        <v>134</v>
      </c>
      <c r="B11" s="546" t="str">
        <f>ORÇAMENTO!B7</f>
        <v>Maruza Baptista</v>
      </c>
      <c r="C11" s="546"/>
      <c r="D11" s="546"/>
      <c r="E11" s="548" t="str">
        <f>ORÇAMENTO!E7</f>
        <v>Data:</v>
      </c>
      <c r="F11" s="549"/>
      <c r="G11" s="595">
        <f ca="1">ORÇAMENTO!G7</f>
        <v>45556</v>
      </c>
      <c r="H11" s="593"/>
      <c r="I11" s="594"/>
      <c r="J11" s="204"/>
      <c r="K11" s="108"/>
      <c r="L11" s="108"/>
      <c r="M11" s="108"/>
      <c r="N11" s="108"/>
      <c r="O11" s="108"/>
    </row>
    <row r="12" spans="1:15" ht="28.9" customHeight="1" x14ac:dyDescent="0.2">
      <c r="A12" s="551"/>
      <c r="B12" s="546"/>
      <c r="C12" s="546"/>
      <c r="D12" s="546"/>
      <c r="E12" s="548" t="str">
        <f>ORÇAMENTO!E8</f>
        <v xml:space="preserve">Registro Profissional:  </v>
      </c>
      <c r="F12" s="549"/>
      <c r="G12" s="589" t="str">
        <f>ORÇAMENTO!G8</f>
        <v>CAU: 28510-2 A</v>
      </c>
      <c r="H12" s="590"/>
      <c r="I12" s="591"/>
      <c r="J12" s="203"/>
      <c r="K12" s="201"/>
      <c r="L12" s="201"/>
      <c r="M12" s="201"/>
      <c r="N12" s="201"/>
      <c r="O12" s="201"/>
    </row>
    <row r="13" spans="1:15" ht="13.5" thickBot="1" x14ac:dyDescent="0.25"/>
    <row r="14" spans="1:15" ht="18" customHeight="1" x14ac:dyDescent="0.2">
      <c r="A14" s="534" t="str">
        <f>ORÇAMENTO!B3</f>
        <v>CONSTRUÇÃO DO MONUMENTO SAGRADO CORAÇÃO DE JESUS NO MUNICÍPIO DE ULIANÓPOLIS/PA</v>
      </c>
      <c r="B14" s="535"/>
      <c r="C14" s="600" t="s">
        <v>11</v>
      </c>
      <c r="D14" s="601"/>
      <c r="E14" s="601"/>
      <c r="F14" s="601"/>
      <c r="G14" s="601"/>
      <c r="H14" s="601"/>
      <c r="I14" s="602"/>
    </row>
    <row r="15" spans="1:15" ht="18" customHeight="1" x14ac:dyDescent="0.2">
      <c r="A15" s="536"/>
      <c r="B15" s="537"/>
      <c r="C15" s="603"/>
      <c r="D15" s="604"/>
      <c r="E15" s="604"/>
      <c r="F15" s="604"/>
      <c r="G15" s="604"/>
      <c r="H15" s="604"/>
      <c r="I15" s="605"/>
    </row>
    <row r="16" spans="1:15" ht="18" customHeight="1" thickBot="1" x14ac:dyDescent="0.25">
      <c r="A16" s="538"/>
      <c r="B16" s="539"/>
      <c r="C16" s="606"/>
      <c r="D16" s="607"/>
      <c r="E16" s="607"/>
      <c r="F16" s="607"/>
      <c r="G16" s="607"/>
      <c r="H16" s="607"/>
      <c r="I16" s="608"/>
    </row>
    <row r="17" spans="1:11" ht="20.25" thickBot="1" x14ac:dyDescent="0.25">
      <c r="A17" s="540" t="s">
        <v>12</v>
      </c>
      <c r="B17" s="542" t="s">
        <v>13</v>
      </c>
      <c r="C17" s="544" t="s">
        <v>14</v>
      </c>
      <c r="D17" s="545"/>
      <c r="E17" s="545" t="s">
        <v>15</v>
      </c>
      <c r="F17" s="545"/>
      <c r="G17" s="544" t="s">
        <v>16</v>
      </c>
      <c r="H17" s="544"/>
      <c r="I17" s="616" t="s">
        <v>17</v>
      </c>
    </row>
    <row r="18" spans="1:11" ht="19.5" customHeight="1" x14ac:dyDescent="0.2">
      <c r="A18" s="541"/>
      <c r="B18" s="543"/>
      <c r="C18" s="197" t="s">
        <v>18</v>
      </c>
      <c r="D18" s="198" t="s">
        <v>18</v>
      </c>
      <c r="E18" s="199" t="s">
        <v>18</v>
      </c>
      <c r="F18" s="285" t="s">
        <v>18</v>
      </c>
      <c r="G18" s="286" t="s">
        <v>18</v>
      </c>
      <c r="H18" s="286" t="s">
        <v>18</v>
      </c>
      <c r="I18" s="617"/>
    </row>
    <row r="19" spans="1:11" ht="22.5" customHeight="1" x14ac:dyDescent="0.2">
      <c r="A19" s="521">
        <v>1</v>
      </c>
      <c r="B19" s="524" t="str">
        <f>ORÇAMENTO!D14</f>
        <v>ADMINISTRAÇÃO LOCAL</v>
      </c>
      <c r="C19" s="527">
        <f>(SUM(C24+C27+C30+C33+C36+C39+C42)/(SUM(I22:I42)))</f>
        <v>0.17979620048651554</v>
      </c>
      <c r="D19" s="528"/>
      <c r="E19" s="527">
        <f>(SUM(E24+E27+E30+E33+E36+E39+E42)/(SUM(I22:I42)))</f>
        <v>0.38517775567907947</v>
      </c>
      <c r="F19" s="528"/>
      <c r="G19" s="527">
        <f>(SUM(G24+G27+G30+G33+G36+G39+G42)/(SUM(I22:I42)))</f>
        <v>0.43502604383440518</v>
      </c>
      <c r="H19" s="528"/>
      <c r="I19" s="529">
        <f>ORÇAMENTO!I16</f>
        <v>9087.93</v>
      </c>
    </row>
    <row r="20" spans="1:11" ht="19.5" customHeight="1" x14ac:dyDescent="0.2">
      <c r="A20" s="522"/>
      <c r="B20" s="525"/>
      <c r="C20" s="559"/>
      <c r="D20" s="583"/>
      <c r="E20" s="584"/>
      <c r="F20" s="583"/>
      <c r="G20" s="584"/>
      <c r="H20" s="583"/>
      <c r="I20" s="530"/>
    </row>
    <row r="21" spans="1:11" ht="19.5" customHeight="1" x14ac:dyDescent="0.2">
      <c r="A21" s="523"/>
      <c r="B21" s="526"/>
      <c r="C21" s="532">
        <f>I19*C19</f>
        <v>1633.9752842874193</v>
      </c>
      <c r="D21" s="533"/>
      <c r="E21" s="533">
        <f>I19*E19</f>
        <v>3500.468481168577</v>
      </c>
      <c r="F21" s="533"/>
      <c r="G21" s="533">
        <f>I19*G19</f>
        <v>3953.486234544006</v>
      </c>
      <c r="H21" s="533"/>
      <c r="I21" s="531"/>
    </row>
    <row r="22" spans="1:11" ht="18.75" customHeight="1" x14ac:dyDescent="0.2">
      <c r="A22" s="609">
        <v>2</v>
      </c>
      <c r="B22" s="618" t="str">
        <f>ORÇAMENTO!D17</f>
        <v>SERVIÇOS PRELIMINARES</v>
      </c>
      <c r="C22" s="283">
        <v>1</v>
      </c>
      <c r="D22" s="284"/>
      <c r="E22" s="563"/>
      <c r="F22" s="563"/>
      <c r="G22" s="64"/>
      <c r="H22" s="65"/>
      <c r="I22" s="615">
        <f>ORÇAMENTO!I22</f>
        <v>21275.86</v>
      </c>
    </row>
    <row r="23" spans="1:11" ht="18.75" customHeight="1" x14ac:dyDescent="0.2">
      <c r="A23" s="609"/>
      <c r="B23" s="619"/>
      <c r="C23" s="584"/>
      <c r="D23" s="583"/>
      <c r="E23" s="610"/>
      <c r="F23" s="583"/>
      <c r="G23" s="584"/>
      <c r="H23" s="583"/>
      <c r="I23" s="615"/>
    </row>
    <row r="24" spans="1:11" ht="18.75" x14ac:dyDescent="0.2">
      <c r="A24" s="577"/>
      <c r="B24" s="618"/>
      <c r="C24" s="620">
        <f>I22*C22</f>
        <v>21275.86</v>
      </c>
      <c r="D24" s="620"/>
      <c r="E24" s="582"/>
      <c r="F24" s="582"/>
      <c r="G24" s="582"/>
      <c r="H24" s="582"/>
      <c r="I24" s="615"/>
      <c r="J24" s="63">
        <f>SUM(C24:H24)</f>
        <v>21275.86</v>
      </c>
    </row>
    <row r="25" spans="1:11" ht="18.75" x14ac:dyDescent="0.2">
      <c r="A25" s="570">
        <v>3</v>
      </c>
      <c r="B25" s="611" t="str">
        <f>ORÇAMENTO!D23</f>
        <v>ESTRUTURA</v>
      </c>
      <c r="C25" s="563">
        <v>0.5</v>
      </c>
      <c r="D25" s="563"/>
      <c r="E25" s="563">
        <v>0.5</v>
      </c>
      <c r="F25" s="563"/>
      <c r="G25" s="527"/>
      <c r="H25" s="528"/>
      <c r="I25" s="613">
        <f>ORÇAMENTO!I32</f>
        <v>31750.34</v>
      </c>
      <c r="J25" s="63"/>
      <c r="K25" s="63"/>
    </row>
    <row r="26" spans="1:11" ht="18.75" x14ac:dyDescent="0.2">
      <c r="A26" s="570"/>
      <c r="B26" s="612"/>
      <c r="C26" s="66"/>
      <c r="D26" s="67"/>
      <c r="E26" s="66"/>
      <c r="F26" s="67"/>
      <c r="G26" s="584"/>
      <c r="H26" s="583"/>
      <c r="I26" s="614"/>
      <c r="J26" s="63"/>
      <c r="K26" s="63"/>
    </row>
    <row r="27" spans="1:11" ht="18.75" x14ac:dyDescent="0.2">
      <c r="A27" s="570"/>
      <c r="B27" s="612"/>
      <c r="C27" s="564">
        <f>I25*C25</f>
        <v>15875.17</v>
      </c>
      <c r="D27" s="564"/>
      <c r="E27" s="564">
        <f>I25*E25</f>
        <v>15875.17</v>
      </c>
      <c r="F27" s="564"/>
      <c r="G27" s="585"/>
      <c r="H27" s="585"/>
      <c r="I27" s="615"/>
      <c r="J27" s="63">
        <f>SUM(C27:H27)</f>
        <v>31750.34</v>
      </c>
    </row>
    <row r="28" spans="1:11" ht="18.75" x14ac:dyDescent="0.2">
      <c r="A28" s="570">
        <v>4</v>
      </c>
      <c r="B28" s="571" t="str">
        <f>ORÇAMENTO!D33</f>
        <v>ELEMENTOS DECORATIVOS</v>
      </c>
      <c r="C28" s="572"/>
      <c r="D28" s="573"/>
      <c r="E28" s="565">
        <v>0.5</v>
      </c>
      <c r="F28" s="566"/>
      <c r="G28" s="565">
        <v>0.5</v>
      </c>
      <c r="H28" s="566"/>
      <c r="I28" s="556">
        <f>ORÇAMENTO!I38</f>
        <v>121280.97</v>
      </c>
      <c r="J28" s="63"/>
    </row>
    <row r="29" spans="1:11" ht="18.75" x14ac:dyDescent="0.2">
      <c r="A29" s="570"/>
      <c r="B29" s="571"/>
      <c r="C29" s="561"/>
      <c r="D29" s="562"/>
      <c r="E29" s="101"/>
      <c r="F29" s="282"/>
      <c r="G29" s="101"/>
      <c r="H29" s="282"/>
      <c r="I29" s="557"/>
      <c r="J29" s="63"/>
    </row>
    <row r="30" spans="1:11" ht="18.75" x14ac:dyDescent="0.2">
      <c r="A30" s="570"/>
      <c r="B30" s="571"/>
      <c r="C30" s="574"/>
      <c r="D30" s="575"/>
      <c r="E30" s="567">
        <f>I28*E28</f>
        <v>60640.485000000001</v>
      </c>
      <c r="F30" s="568"/>
      <c r="G30" s="567">
        <f>I28*G28</f>
        <v>60640.485000000001</v>
      </c>
      <c r="H30" s="568"/>
      <c r="I30" s="558"/>
      <c r="J30" s="63"/>
    </row>
    <row r="31" spans="1:11" ht="18.75" x14ac:dyDescent="0.2">
      <c r="A31" s="570">
        <v>5</v>
      </c>
      <c r="B31" s="571" t="str">
        <f>ORÇAMENTO!D39</f>
        <v>INSTALAÇÕES ELÉTRICAS</v>
      </c>
      <c r="C31" s="572"/>
      <c r="D31" s="573"/>
      <c r="E31" s="563">
        <v>0.25</v>
      </c>
      <c r="F31" s="563"/>
      <c r="G31" s="563">
        <v>0.75</v>
      </c>
      <c r="H31" s="563"/>
      <c r="I31" s="556">
        <f>ORÇAMENTO!I45</f>
        <v>7659.96</v>
      </c>
      <c r="J31" s="63"/>
    </row>
    <row r="32" spans="1:11" ht="18.75" x14ac:dyDescent="0.2">
      <c r="A32" s="570"/>
      <c r="B32" s="571"/>
      <c r="C32" s="561"/>
      <c r="D32" s="562"/>
      <c r="E32" s="66"/>
      <c r="F32" s="67"/>
      <c r="G32" s="66"/>
      <c r="H32" s="67"/>
      <c r="I32" s="557"/>
      <c r="J32" s="63"/>
    </row>
    <row r="33" spans="1:12" ht="18.75" x14ac:dyDescent="0.2">
      <c r="A33" s="570"/>
      <c r="B33" s="571"/>
      <c r="C33" s="574"/>
      <c r="D33" s="575"/>
      <c r="E33" s="564">
        <f>I31*E31</f>
        <v>1914.99</v>
      </c>
      <c r="F33" s="564"/>
      <c r="G33" s="564">
        <f>I31*G31</f>
        <v>5744.97</v>
      </c>
      <c r="H33" s="564"/>
      <c r="I33" s="558"/>
      <c r="J33" s="63"/>
    </row>
    <row r="34" spans="1:12" ht="18.75" x14ac:dyDescent="0.2">
      <c r="A34" s="570">
        <v>6</v>
      </c>
      <c r="B34" s="571" t="str">
        <f>ORÇAMENTO!D46</f>
        <v>PINTURA</v>
      </c>
      <c r="C34" s="572"/>
      <c r="D34" s="573"/>
      <c r="E34" s="578"/>
      <c r="F34" s="579"/>
      <c r="G34" s="565">
        <v>1</v>
      </c>
      <c r="H34" s="566"/>
      <c r="I34" s="556">
        <f>ORÇAMENTO!I51</f>
        <v>5220.87</v>
      </c>
      <c r="J34" s="63"/>
    </row>
    <row r="35" spans="1:12" ht="18.75" x14ac:dyDescent="0.2">
      <c r="A35" s="570"/>
      <c r="B35" s="571"/>
      <c r="C35" s="561"/>
      <c r="D35" s="562"/>
      <c r="E35" s="559"/>
      <c r="F35" s="560"/>
      <c r="G35" s="101"/>
      <c r="H35" s="282"/>
      <c r="I35" s="557"/>
      <c r="J35" s="63"/>
    </row>
    <row r="36" spans="1:12" ht="18.75" x14ac:dyDescent="0.2">
      <c r="A36" s="570"/>
      <c r="B36" s="571"/>
      <c r="C36" s="574"/>
      <c r="D36" s="575"/>
      <c r="E36" s="580"/>
      <c r="F36" s="581"/>
      <c r="G36" s="567">
        <f>I34*G34</f>
        <v>5220.87</v>
      </c>
      <c r="H36" s="568"/>
      <c r="I36" s="558"/>
      <c r="J36" s="63"/>
    </row>
    <row r="37" spans="1:12" ht="18.75" x14ac:dyDescent="0.2">
      <c r="A37" s="570">
        <v>7</v>
      </c>
      <c r="B37" s="571" t="str">
        <f>ORÇAMENTO!D52</f>
        <v>PAISAGISMO</v>
      </c>
      <c r="C37" s="572"/>
      <c r="D37" s="573"/>
      <c r="E37" s="578"/>
      <c r="F37" s="579"/>
      <c r="G37" s="565">
        <v>1</v>
      </c>
      <c r="H37" s="566"/>
      <c r="I37" s="556">
        <f>ORÇAMENTO!I55</f>
        <v>17124.400000000001</v>
      </c>
      <c r="J37" s="63"/>
    </row>
    <row r="38" spans="1:12" ht="18.75" x14ac:dyDescent="0.2">
      <c r="A38" s="570"/>
      <c r="B38" s="571"/>
      <c r="C38" s="561"/>
      <c r="D38" s="562"/>
      <c r="E38" s="559"/>
      <c r="F38" s="560"/>
      <c r="G38" s="101"/>
      <c r="H38" s="282"/>
      <c r="I38" s="557"/>
      <c r="J38" s="63"/>
    </row>
    <row r="39" spans="1:12" ht="18.75" x14ac:dyDescent="0.2">
      <c r="A39" s="570"/>
      <c r="B39" s="571"/>
      <c r="C39" s="574"/>
      <c r="D39" s="575"/>
      <c r="E39" s="580"/>
      <c r="F39" s="581"/>
      <c r="G39" s="567">
        <f>I37*G37</f>
        <v>17124.400000000001</v>
      </c>
      <c r="H39" s="568"/>
      <c r="I39" s="558"/>
      <c r="J39" s="63"/>
    </row>
    <row r="40" spans="1:12" ht="18.75" x14ac:dyDescent="0.2">
      <c r="A40" s="570">
        <v>8</v>
      </c>
      <c r="B40" s="571" t="str">
        <f>ORÇAMENTO!D56</f>
        <v>SERVIÇOS FINAIS</v>
      </c>
      <c r="C40" s="572"/>
      <c r="D40" s="573"/>
      <c r="E40" s="563">
        <v>0.5</v>
      </c>
      <c r="F40" s="563"/>
      <c r="G40" s="563">
        <v>0.5</v>
      </c>
      <c r="H40" s="563"/>
      <c r="I40" s="569">
        <f>ORÇAMENTO!I58</f>
        <v>2316.16</v>
      </c>
      <c r="J40" s="63"/>
      <c r="K40" s="63"/>
    </row>
    <row r="41" spans="1:12" ht="18.75" x14ac:dyDescent="0.2">
      <c r="A41" s="570"/>
      <c r="B41" s="571"/>
      <c r="C41" s="561"/>
      <c r="D41" s="562"/>
      <c r="E41" s="66"/>
      <c r="F41" s="67"/>
      <c r="G41" s="66"/>
      <c r="H41" s="67"/>
      <c r="I41" s="569"/>
      <c r="J41" s="63"/>
      <c r="K41" s="63"/>
    </row>
    <row r="42" spans="1:12" ht="19.5" thickBot="1" x14ac:dyDescent="0.25">
      <c r="A42" s="570"/>
      <c r="B42" s="571"/>
      <c r="C42" s="574"/>
      <c r="D42" s="575"/>
      <c r="E42" s="564">
        <f>I40*E40</f>
        <v>1158.08</v>
      </c>
      <c r="F42" s="564"/>
      <c r="G42" s="564">
        <f>I40*G40</f>
        <v>1158.08</v>
      </c>
      <c r="H42" s="564"/>
      <c r="I42" s="569"/>
      <c r="J42" s="63">
        <f>SUM(C42:H42)</f>
        <v>2316.16</v>
      </c>
      <c r="L42" s="3">
        <f>SUM(C42:H42)</f>
        <v>2316.16</v>
      </c>
    </row>
    <row r="43" spans="1:12" ht="20.25" thickBot="1" x14ac:dyDescent="0.25">
      <c r="A43" s="576"/>
      <c r="B43" s="68" t="s">
        <v>23</v>
      </c>
      <c r="C43" s="69"/>
      <c r="D43" s="70"/>
      <c r="E43" s="69"/>
      <c r="F43" s="70"/>
      <c r="G43" s="69"/>
      <c r="H43" s="70"/>
      <c r="I43" s="71">
        <f>SUM(I19:I42)</f>
        <v>215716.49</v>
      </c>
    </row>
    <row r="44" spans="1:12" ht="19.5" thickBot="1" x14ac:dyDescent="0.25">
      <c r="A44" s="577"/>
      <c r="B44" s="82"/>
      <c r="C44" s="564"/>
      <c r="D44" s="564"/>
      <c r="E44" s="564"/>
      <c r="F44" s="564"/>
      <c r="G44" s="564"/>
      <c r="H44" s="564"/>
      <c r="I44" s="83"/>
    </row>
    <row r="45" spans="1:12" ht="20.25" thickBot="1" x14ac:dyDescent="0.25">
      <c r="A45" s="85"/>
      <c r="B45" s="119" t="s">
        <v>19</v>
      </c>
      <c r="C45" s="552">
        <f>C21+C24+C27+C30+C33+C36+C39+C42</f>
        <v>38785.005284287421</v>
      </c>
      <c r="D45" s="553"/>
      <c r="E45" s="552">
        <f>E21+E24+E27+E30+E33+E36+E39+E42</f>
        <v>83089.193481168593</v>
      </c>
      <c r="F45" s="553"/>
      <c r="G45" s="552">
        <f>G21+G24+G27+G30+G33+G36+G39+G42</f>
        <v>93842.291234543998</v>
      </c>
      <c r="H45" s="553"/>
      <c r="I45" s="86">
        <f>SUM(I43)</f>
        <v>215716.49</v>
      </c>
    </row>
    <row r="46" spans="1:12" ht="20.25" thickBot="1" x14ac:dyDescent="0.25">
      <c r="A46" s="87"/>
      <c r="B46" s="88" t="s">
        <v>20</v>
      </c>
      <c r="C46" s="555">
        <f>C45/I45</f>
        <v>0.17979620048651554</v>
      </c>
      <c r="D46" s="555"/>
      <c r="E46" s="555">
        <f>E45/I45</f>
        <v>0.38517775567907953</v>
      </c>
      <c r="F46" s="555"/>
      <c r="G46" s="555">
        <f>G45/I45</f>
        <v>0.43502604383440507</v>
      </c>
      <c r="H46" s="555"/>
      <c r="I46" s="84"/>
    </row>
    <row r="47" spans="1:12" ht="20.25" thickBot="1" x14ac:dyDescent="0.25">
      <c r="A47" s="91"/>
      <c r="B47" s="119" t="s">
        <v>21</v>
      </c>
      <c r="C47" s="552">
        <f>C45</f>
        <v>38785.005284287421</v>
      </c>
      <c r="D47" s="553"/>
      <c r="E47" s="553">
        <f>SUM(C45:F45)</f>
        <v>121874.19876545601</v>
      </c>
      <c r="F47" s="553"/>
      <c r="G47" s="553">
        <f>SUM(C45:H45)</f>
        <v>215716.49</v>
      </c>
      <c r="H47" s="553"/>
      <c r="I47" s="72"/>
    </row>
    <row r="48" spans="1:12" ht="20.25" thickBot="1" x14ac:dyDescent="0.25">
      <c r="A48" s="89"/>
      <c r="B48" s="90" t="s">
        <v>22</v>
      </c>
      <c r="C48" s="554">
        <f>C47/I45</f>
        <v>0.17979620048651554</v>
      </c>
      <c r="D48" s="554"/>
      <c r="E48" s="554">
        <f>E47/I45</f>
        <v>0.56497395616559498</v>
      </c>
      <c r="F48" s="554"/>
      <c r="G48" s="554">
        <f>G47/I45</f>
        <v>1</v>
      </c>
      <c r="H48" s="554"/>
      <c r="I48" s="72"/>
    </row>
  </sheetData>
  <mergeCells count="127">
    <mergeCell ref="C14:I16"/>
    <mergeCell ref="G28:H28"/>
    <mergeCell ref="C35:D35"/>
    <mergeCell ref="G30:H30"/>
    <mergeCell ref="C29:D29"/>
    <mergeCell ref="C28:D28"/>
    <mergeCell ref="C30:D30"/>
    <mergeCell ref="C31:D31"/>
    <mergeCell ref="A22:A24"/>
    <mergeCell ref="E23:F23"/>
    <mergeCell ref="A25:A27"/>
    <mergeCell ref="B25:B27"/>
    <mergeCell ref="C25:D25"/>
    <mergeCell ref="E25:F25"/>
    <mergeCell ref="C27:D27"/>
    <mergeCell ref="C23:D23"/>
    <mergeCell ref="E28:F28"/>
    <mergeCell ref="E30:F30"/>
    <mergeCell ref="I25:I27"/>
    <mergeCell ref="I17:I18"/>
    <mergeCell ref="B22:B24"/>
    <mergeCell ref="E22:F22"/>
    <mergeCell ref="I22:I24"/>
    <mergeCell ref="C24:D24"/>
    <mergeCell ref="B11:D12"/>
    <mergeCell ref="E11:F11"/>
    <mergeCell ref="G7:I7"/>
    <mergeCell ref="G8:I8"/>
    <mergeCell ref="G9:I9"/>
    <mergeCell ref="G10:I10"/>
    <mergeCell ref="G11:I11"/>
    <mergeCell ref="G12:I12"/>
    <mergeCell ref="E12:F12"/>
    <mergeCell ref="E8:F9"/>
    <mergeCell ref="E24:F24"/>
    <mergeCell ref="G24:H24"/>
    <mergeCell ref="C20:D20"/>
    <mergeCell ref="E20:F20"/>
    <mergeCell ref="G20:H20"/>
    <mergeCell ref="E27:F27"/>
    <mergeCell ref="G27:H27"/>
    <mergeCell ref="G25:H25"/>
    <mergeCell ref="G26:H26"/>
    <mergeCell ref="G23:H23"/>
    <mergeCell ref="I28:I30"/>
    <mergeCell ref="A43:A44"/>
    <mergeCell ref="C44:D44"/>
    <mergeCell ref="E44:F44"/>
    <mergeCell ref="G44:H44"/>
    <mergeCell ref="A34:A36"/>
    <mergeCell ref="B34:B36"/>
    <mergeCell ref="A28:A30"/>
    <mergeCell ref="A31:A33"/>
    <mergeCell ref="A37:A39"/>
    <mergeCell ref="B28:B30"/>
    <mergeCell ref="B31:B33"/>
    <mergeCell ref="B37:B39"/>
    <mergeCell ref="C33:D33"/>
    <mergeCell ref="C34:D34"/>
    <mergeCell ref="C36:D36"/>
    <mergeCell ref="C37:D37"/>
    <mergeCell ref="C39:D39"/>
    <mergeCell ref="C41:D41"/>
    <mergeCell ref="E34:F34"/>
    <mergeCell ref="E36:F36"/>
    <mergeCell ref="E37:F37"/>
    <mergeCell ref="E39:F39"/>
    <mergeCell ref="C32:D32"/>
    <mergeCell ref="G39:H39"/>
    <mergeCell ref="I40:I42"/>
    <mergeCell ref="E42:F42"/>
    <mergeCell ref="G42:H42"/>
    <mergeCell ref="A40:A42"/>
    <mergeCell ref="B40:B42"/>
    <mergeCell ref="E40:F40"/>
    <mergeCell ref="G40:H40"/>
    <mergeCell ref="C40:D40"/>
    <mergeCell ref="C42:D42"/>
    <mergeCell ref="I37:I39"/>
    <mergeCell ref="G37:H37"/>
    <mergeCell ref="I31:I33"/>
    <mergeCell ref="I34:I36"/>
    <mergeCell ref="E35:F35"/>
    <mergeCell ref="C38:D38"/>
    <mergeCell ref="E38:F38"/>
    <mergeCell ref="E31:F31"/>
    <mergeCell ref="E33:F33"/>
    <mergeCell ref="G31:H31"/>
    <mergeCell ref="G33:H33"/>
    <mergeCell ref="G34:H34"/>
    <mergeCell ref="G36:H36"/>
    <mergeCell ref="C47:D47"/>
    <mergeCell ref="E47:F47"/>
    <mergeCell ref="G47:H47"/>
    <mergeCell ref="C45:D45"/>
    <mergeCell ref="E45:F45"/>
    <mergeCell ref="G45:H45"/>
    <mergeCell ref="C48:D48"/>
    <mergeCell ref="E48:F48"/>
    <mergeCell ref="G48:H48"/>
    <mergeCell ref="C46:D46"/>
    <mergeCell ref="E46:F46"/>
    <mergeCell ref="G46:H46"/>
    <mergeCell ref="B1:I6"/>
    <mergeCell ref="A1:A6"/>
    <mergeCell ref="A19:A21"/>
    <mergeCell ref="B19:B21"/>
    <mergeCell ref="E19:F19"/>
    <mergeCell ref="I19:I21"/>
    <mergeCell ref="C21:D21"/>
    <mergeCell ref="E21:F21"/>
    <mergeCell ref="G21:H21"/>
    <mergeCell ref="C19:D19"/>
    <mergeCell ref="G19:H19"/>
    <mergeCell ref="A14:B16"/>
    <mergeCell ref="A17:A18"/>
    <mergeCell ref="B17:B18"/>
    <mergeCell ref="C17:D17"/>
    <mergeCell ref="E17:F17"/>
    <mergeCell ref="G17:H17"/>
    <mergeCell ref="B7:D7"/>
    <mergeCell ref="B8:D8"/>
    <mergeCell ref="B9:D9"/>
    <mergeCell ref="B10:D10"/>
    <mergeCell ref="E7:F7"/>
    <mergeCell ref="E10:F10"/>
    <mergeCell ref="A11:A12"/>
  </mergeCells>
  <pageMargins left="0.7" right="0.7" top="0.75" bottom="0.75" header="0.3" footer="0.3"/>
  <pageSetup paperSize="9" scale="52" orientation="landscape" r:id="rId1"/>
  <headerFoot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7"/>
  <sheetViews>
    <sheetView view="pageBreakPreview" zoomScale="115" zoomScaleNormal="100" zoomScaleSheetLayoutView="115" workbookViewId="0">
      <selection activeCell="A24" sqref="A24:H24"/>
    </sheetView>
  </sheetViews>
  <sheetFormatPr defaultColWidth="8.85546875" defaultRowHeight="12.75" x14ac:dyDescent="0.2"/>
  <cols>
    <col min="1" max="1" width="18.42578125" style="164" customWidth="1"/>
    <col min="2" max="2" width="12.5703125" style="4" customWidth="1"/>
    <col min="3" max="3" width="57.42578125" style="4" customWidth="1"/>
    <col min="4" max="4" width="8.85546875" style="4"/>
    <col min="5" max="5" width="20.42578125" style="4" customWidth="1"/>
    <col min="6" max="6" width="21.42578125" style="4" customWidth="1"/>
    <col min="7" max="7" width="21.7109375" style="4" customWidth="1"/>
    <col min="8" max="10" width="0" style="4" hidden="1" customWidth="1"/>
    <col min="11" max="11" width="13.85546875" style="4" bestFit="1" customWidth="1"/>
    <col min="12" max="12" width="15.5703125" style="4" bestFit="1" customWidth="1"/>
    <col min="13" max="16384" width="8.85546875" style="4"/>
  </cols>
  <sheetData>
    <row r="1" spans="1:9" ht="69.95" customHeight="1" x14ac:dyDescent="0.2">
      <c r="A1" s="102"/>
      <c r="B1" s="506" t="str">
        <f>ORÇAMENTO!B1</f>
        <v>ESTADO DO PARÁ
PREFEITURA MUNICIPAL DE ULIANÓPOLIS
CNPJ: 83.334.672/0001-60</v>
      </c>
      <c r="C1" s="506"/>
      <c r="D1" s="506"/>
      <c r="E1" s="506"/>
      <c r="F1" s="506"/>
      <c r="G1" s="520"/>
    </row>
    <row r="2" spans="1:9" ht="18" customHeight="1" x14ac:dyDescent="0.2">
      <c r="A2" s="288" t="s">
        <v>59</v>
      </c>
      <c r="B2" s="546" t="str">
        <f>ORÇAMENTO!B2</f>
        <v>PREFEITURA MUNICÍPAL DE ULIANÓPOLIS</v>
      </c>
      <c r="C2" s="546"/>
      <c r="D2" s="546"/>
      <c r="E2" s="268" t="str">
        <f>ORÇAMENTO!E2</f>
        <v>Município/UF:</v>
      </c>
      <c r="F2" s="636" t="str">
        <f>ORÇAMENTO!G2</f>
        <v>ULIANÓPOLIS/PA</v>
      </c>
      <c r="G2" s="636"/>
      <c r="H2" s="636"/>
      <c r="I2" s="636"/>
    </row>
    <row r="3" spans="1:9" ht="24" customHeight="1" x14ac:dyDescent="0.2">
      <c r="A3" s="288" t="s">
        <v>60</v>
      </c>
      <c r="B3" s="634" t="s">
        <v>189</v>
      </c>
      <c r="C3" s="634"/>
      <c r="D3" s="634"/>
      <c r="E3" s="641" t="str">
        <f>ORÇAMENTO!E3</f>
        <v>Data Base:</v>
      </c>
      <c r="F3" s="639" t="str">
        <f>ORÇAMENTO!G3</f>
        <v>SINAPI ABRIL 2024 - DESONERADA</v>
      </c>
      <c r="G3" s="639"/>
      <c r="H3" s="639"/>
      <c r="I3" s="639"/>
    </row>
    <row r="4" spans="1:9" ht="18" customHeight="1" x14ac:dyDescent="0.2">
      <c r="A4" s="288" t="s">
        <v>133</v>
      </c>
      <c r="B4" s="546" t="s">
        <v>190</v>
      </c>
      <c r="C4" s="546"/>
      <c r="D4" s="546"/>
      <c r="E4" s="641"/>
      <c r="F4" s="638" t="str">
        <f>ORÇAMENTO!G4</f>
        <v>SEOP ABRIL 2024 - DESONERADA</v>
      </c>
      <c r="G4" s="638"/>
      <c r="H4" s="638"/>
      <c r="I4" s="638"/>
    </row>
    <row r="5" spans="1:9" ht="21" customHeight="1" x14ac:dyDescent="0.2">
      <c r="A5" s="173" t="s">
        <v>192</v>
      </c>
      <c r="B5" s="547">
        <f>ORÇAMENTO!B5</f>
        <v>215716.49</v>
      </c>
      <c r="C5" s="642"/>
      <c r="D5" s="642"/>
      <c r="E5" s="269" t="str">
        <f>ORÇAMENTO!E5</f>
        <v>BDI Serviços:</v>
      </c>
      <c r="F5" s="637">
        <f>ORÇAMENTO!G5</f>
        <v>0.29769428939090381</v>
      </c>
      <c r="G5" s="637"/>
      <c r="H5" s="637"/>
      <c r="I5" s="637"/>
    </row>
    <row r="6" spans="1:9" ht="19.149999999999999" customHeight="1" x14ac:dyDescent="0.2">
      <c r="A6" s="635" t="s">
        <v>134</v>
      </c>
      <c r="B6" s="546" t="str">
        <f>ORÇAMENTO!B7</f>
        <v>Maruza Baptista</v>
      </c>
      <c r="C6" s="546"/>
      <c r="D6" s="546"/>
      <c r="E6" s="269" t="str">
        <f>ORÇAMENTO!E7</f>
        <v>Data:</v>
      </c>
      <c r="F6" s="640">
        <f ca="1">ORÇAMENTO!G7</f>
        <v>45556</v>
      </c>
      <c r="G6" s="640"/>
      <c r="H6" s="640"/>
      <c r="I6" s="640"/>
    </row>
    <row r="7" spans="1:9" ht="19.899999999999999" customHeight="1" x14ac:dyDescent="0.2">
      <c r="A7" s="635"/>
      <c r="B7" s="546"/>
      <c r="C7" s="546"/>
      <c r="D7" s="546"/>
      <c r="E7" s="269" t="str">
        <f>ORÇAMENTO!E8</f>
        <v xml:space="preserve">Registro Profissional:  </v>
      </c>
      <c r="F7" s="638" t="str">
        <f>ORÇAMENTO!G8</f>
        <v>CAU: 28510-2 A</v>
      </c>
      <c r="G7" s="638"/>
      <c r="H7" s="638"/>
      <c r="I7" s="638"/>
    </row>
    <row r="8" spans="1:9" ht="7.5" customHeight="1" thickBot="1" x14ac:dyDescent="0.25">
      <c r="E8" s="232"/>
      <c r="F8" s="232"/>
    </row>
    <row r="9" spans="1:9" ht="18.75" customHeight="1" thickBot="1" x14ac:dyDescent="0.25">
      <c r="A9" s="471" t="s">
        <v>132</v>
      </c>
      <c r="B9" s="632"/>
      <c r="C9" s="632"/>
      <c r="D9" s="632"/>
      <c r="E9" s="632"/>
      <c r="F9" s="632"/>
      <c r="G9" s="633"/>
    </row>
    <row r="10" spans="1:9" x14ac:dyDescent="0.2">
      <c r="A10" s="109"/>
      <c r="B10" s="164"/>
      <c r="C10" s="164"/>
      <c r="D10" s="164"/>
      <c r="E10" s="164"/>
      <c r="F10" s="164"/>
      <c r="G10" s="164"/>
    </row>
    <row r="11" spans="1:9" x14ac:dyDescent="0.2">
      <c r="A11" s="292" t="s">
        <v>4</v>
      </c>
      <c r="B11" s="621" t="s">
        <v>36</v>
      </c>
      <c r="C11" s="622"/>
      <c r="D11" s="622"/>
      <c r="E11" s="622"/>
      <c r="F11" s="622"/>
      <c r="G11" s="220" t="s">
        <v>234</v>
      </c>
    </row>
    <row r="12" spans="1:9" ht="21" customHeight="1" x14ac:dyDescent="0.2">
      <c r="A12" s="13" t="str">
        <f>ORÇAMENTO!A15</f>
        <v>1.1</v>
      </c>
      <c r="B12" s="624" t="s">
        <v>236</v>
      </c>
      <c r="C12" s="625"/>
      <c r="D12" s="625"/>
      <c r="E12" s="625"/>
      <c r="F12" s="625"/>
      <c r="G12" s="626"/>
    </row>
    <row r="13" spans="1:9" s="115" customFormat="1" x14ac:dyDescent="0.2">
      <c r="A13" s="293" t="s">
        <v>138</v>
      </c>
      <c r="B13" s="6" t="s">
        <v>30</v>
      </c>
      <c r="C13" s="180" t="s">
        <v>155</v>
      </c>
      <c r="D13" s="6" t="s">
        <v>31</v>
      </c>
      <c r="E13" s="6" t="s">
        <v>7</v>
      </c>
      <c r="F13" s="5" t="s">
        <v>32</v>
      </c>
      <c r="G13" s="5" t="s">
        <v>29</v>
      </c>
    </row>
    <row r="14" spans="1:9" ht="30" customHeight="1" x14ac:dyDescent="0.2">
      <c r="A14" s="118" t="s">
        <v>137</v>
      </c>
      <c r="B14" s="165">
        <v>90777</v>
      </c>
      <c r="C14" s="206" t="s">
        <v>235</v>
      </c>
      <c r="D14" s="7" t="s">
        <v>144</v>
      </c>
      <c r="E14" s="8">
        <f>'MEMÓRIA DE CÁLCULO'!I16</f>
        <v>18</v>
      </c>
      <c r="F14" s="117">
        <v>104.13</v>
      </c>
      <c r="G14" s="117">
        <f>ROUND(E14*F14,2)</f>
        <v>1874.34</v>
      </c>
    </row>
    <row r="15" spans="1:9" ht="18.75" customHeight="1" x14ac:dyDescent="0.2">
      <c r="A15" s="118" t="s">
        <v>137</v>
      </c>
      <c r="B15" s="165">
        <v>90776</v>
      </c>
      <c r="C15" s="205" t="s">
        <v>145</v>
      </c>
      <c r="D15" s="7" t="s">
        <v>144</v>
      </c>
      <c r="E15" s="8">
        <f>'MEMÓRIA DE CÁLCULO'!I20</f>
        <v>240</v>
      </c>
      <c r="F15" s="117">
        <v>21.37</v>
      </c>
      <c r="G15" s="117">
        <f>ROUND(E15*F15,2)</f>
        <v>5128.8</v>
      </c>
    </row>
    <row r="16" spans="1:9" x14ac:dyDescent="0.2">
      <c r="A16" s="125"/>
      <c r="B16" s="627" t="s">
        <v>34</v>
      </c>
      <c r="C16" s="627"/>
      <c r="D16" s="627"/>
      <c r="E16" s="220"/>
      <c r="F16" s="32"/>
      <c r="G16" s="126">
        <f>ROUND(SUM(G14:G15),2)</f>
        <v>7003.14</v>
      </c>
    </row>
    <row r="17" spans="1:7" x14ac:dyDescent="0.2">
      <c r="A17" s="121"/>
      <c r="B17" s="122"/>
      <c r="C17" s="122"/>
      <c r="D17" s="122"/>
      <c r="E17" s="122"/>
      <c r="F17" s="123"/>
      <c r="G17" s="124"/>
    </row>
    <row r="18" spans="1:7" x14ac:dyDescent="0.2">
      <c r="A18" s="292" t="s">
        <v>4</v>
      </c>
      <c r="B18" s="621" t="s">
        <v>158</v>
      </c>
      <c r="C18" s="622"/>
      <c r="D18" s="622"/>
      <c r="E18" s="622"/>
      <c r="F18" s="622"/>
      <c r="G18" s="220" t="s">
        <v>234</v>
      </c>
    </row>
    <row r="19" spans="1:7" ht="26.45" customHeight="1" x14ac:dyDescent="0.2">
      <c r="A19" s="13" t="str">
        <f>ORÇAMENTO!A41</f>
        <v>5.2</v>
      </c>
      <c r="B19" s="624" t="s">
        <v>331</v>
      </c>
      <c r="C19" s="625"/>
      <c r="D19" s="625"/>
      <c r="E19" s="625"/>
      <c r="F19" s="625"/>
      <c r="G19" s="626"/>
    </row>
    <row r="20" spans="1:7" x14ac:dyDescent="0.2">
      <c r="A20" s="293" t="s">
        <v>138</v>
      </c>
      <c r="B20" s="6" t="s">
        <v>30</v>
      </c>
      <c r="C20" s="180" t="s">
        <v>155</v>
      </c>
      <c r="D20" s="6" t="s">
        <v>31</v>
      </c>
      <c r="E20" s="6" t="s">
        <v>7</v>
      </c>
      <c r="F20" s="5" t="s">
        <v>32</v>
      </c>
      <c r="G20" s="5" t="s">
        <v>29</v>
      </c>
    </row>
    <row r="21" spans="1:7" ht="25.5" x14ac:dyDescent="0.2">
      <c r="A21" s="628" t="s">
        <v>230</v>
      </c>
      <c r="B21" s="629"/>
      <c r="C21" s="280" t="s">
        <v>329</v>
      </c>
      <c r="D21" s="7" t="s">
        <v>152</v>
      </c>
      <c r="E21" s="8">
        <v>1</v>
      </c>
      <c r="F21" s="117">
        <v>98.9</v>
      </c>
      <c r="G21" s="117">
        <f>ROUND(E21*F21,2)</f>
        <v>98.9</v>
      </c>
    </row>
    <row r="22" spans="1:7" ht="25.5" x14ac:dyDescent="0.2">
      <c r="A22" s="118" t="s">
        <v>252</v>
      </c>
      <c r="B22" s="165">
        <v>1598</v>
      </c>
      <c r="C22" s="206" t="s">
        <v>253</v>
      </c>
      <c r="D22" s="7" t="s">
        <v>152</v>
      </c>
      <c r="E22" s="8">
        <v>1</v>
      </c>
      <c r="F22" s="117">
        <v>11.66</v>
      </c>
      <c r="G22" s="117">
        <f t="shared" ref="G22:G35" si="0">ROUND(E22*F22,2)</f>
        <v>11.66</v>
      </c>
    </row>
    <row r="23" spans="1:7" ht="25.5" x14ac:dyDescent="0.2">
      <c r="A23" s="118" t="s">
        <v>252</v>
      </c>
      <c r="B23" s="165">
        <v>40549</v>
      </c>
      <c r="C23" s="206" t="s">
        <v>254</v>
      </c>
      <c r="D23" s="7" t="s">
        <v>266</v>
      </c>
      <c r="E23" s="8">
        <v>0.03</v>
      </c>
      <c r="F23" s="117">
        <v>222.76</v>
      </c>
      <c r="G23" s="117">
        <f t="shared" si="0"/>
        <v>6.68</v>
      </c>
    </row>
    <row r="24" spans="1:7" ht="32.450000000000003" customHeight="1" x14ac:dyDescent="0.2">
      <c r="A24" s="118" t="s">
        <v>137</v>
      </c>
      <c r="B24" s="165">
        <v>101632</v>
      </c>
      <c r="C24" s="206" t="s">
        <v>255</v>
      </c>
      <c r="D24" s="7" t="s">
        <v>150</v>
      </c>
      <c r="E24" s="8">
        <v>1</v>
      </c>
      <c r="F24" s="117">
        <v>38.14</v>
      </c>
      <c r="G24" s="117">
        <f t="shared" si="0"/>
        <v>38.14</v>
      </c>
    </row>
    <row r="25" spans="1:7" x14ac:dyDescent="0.2">
      <c r="A25" s="118" t="s">
        <v>193</v>
      </c>
      <c r="B25" s="165">
        <v>180430</v>
      </c>
      <c r="C25" s="206" t="s">
        <v>256</v>
      </c>
      <c r="D25" s="7" t="s">
        <v>150</v>
      </c>
      <c r="E25" s="8">
        <v>1</v>
      </c>
      <c r="F25" s="117">
        <v>22.07</v>
      </c>
      <c r="G25" s="117">
        <f t="shared" si="0"/>
        <v>22.07</v>
      </c>
    </row>
    <row r="26" spans="1:7" x14ac:dyDescent="0.2">
      <c r="A26" s="118" t="s">
        <v>193</v>
      </c>
      <c r="B26" s="165">
        <v>30010</v>
      </c>
      <c r="C26" s="206" t="s">
        <v>257</v>
      </c>
      <c r="D26" s="7" t="s">
        <v>177</v>
      </c>
      <c r="E26" s="8">
        <v>1.35E-2</v>
      </c>
      <c r="F26" s="117">
        <v>79.760000000000005</v>
      </c>
      <c r="G26" s="117">
        <f t="shared" si="0"/>
        <v>1.08</v>
      </c>
    </row>
    <row r="27" spans="1:7" ht="25.5" x14ac:dyDescent="0.2">
      <c r="A27" s="118" t="s">
        <v>137</v>
      </c>
      <c r="B27" s="165">
        <v>101616</v>
      </c>
      <c r="C27" s="206" t="s">
        <v>258</v>
      </c>
      <c r="D27" s="7" t="s">
        <v>267</v>
      </c>
      <c r="E27" s="8">
        <v>4.4999999999999998E-2</v>
      </c>
      <c r="F27" s="117">
        <v>5.77</v>
      </c>
      <c r="G27" s="117">
        <f t="shared" si="0"/>
        <v>0.26</v>
      </c>
    </row>
    <row r="28" spans="1:7" ht="38.25" x14ac:dyDescent="0.2">
      <c r="A28" s="118" t="s">
        <v>137</v>
      </c>
      <c r="B28" s="165">
        <v>96619</v>
      </c>
      <c r="C28" s="206" t="s">
        <v>259</v>
      </c>
      <c r="D28" s="7" t="s">
        <v>267</v>
      </c>
      <c r="E28" s="8">
        <v>0.16000000000000003</v>
      </c>
      <c r="F28" s="117">
        <v>46.23</v>
      </c>
      <c r="G28" s="117">
        <f t="shared" si="0"/>
        <v>7.4</v>
      </c>
    </row>
    <row r="29" spans="1:7" x14ac:dyDescent="0.2">
      <c r="A29" s="118" t="s">
        <v>193</v>
      </c>
      <c r="B29" s="165">
        <v>40283</v>
      </c>
      <c r="C29" s="206" t="s">
        <v>260</v>
      </c>
      <c r="D29" s="7" t="s">
        <v>177</v>
      </c>
      <c r="E29" s="8">
        <v>1.35E-2</v>
      </c>
      <c r="F29" s="117">
        <v>3402.21</v>
      </c>
      <c r="G29" s="117">
        <f t="shared" si="0"/>
        <v>45.93</v>
      </c>
    </row>
    <row r="30" spans="1:7" ht="38.25" x14ac:dyDescent="0.2">
      <c r="A30" s="118" t="s">
        <v>137</v>
      </c>
      <c r="B30" s="165">
        <v>97736</v>
      </c>
      <c r="C30" s="206" t="s">
        <v>261</v>
      </c>
      <c r="D30" s="7" t="s">
        <v>268</v>
      </c>
      <c r="E30" s="8">
        <v>4.4999999999999997E-3</v>
      </c>
      <c r="F30" s="117">
        <v>1659.34</v>
      </c>
      <c r="G30" s="117">
        <f t="shared" si="0"/>
        <v>7.47</v>
      </c>
    </row>
    <row r="31" spans="1:7" x14ac:dyDescent="0.2">
      <c r="A31" s="118" t="s">
        <v>193</v>
      </c>
      <c r="B31" s="165">
        <v>90071</v>
      </c>
      <c r="C31" s="206" t="s">
        <v>262</v>
      </c>
      <c r="D31" s="7" t="s">
        <v>0</v>
      </c>
      <c r="E31" s="8">
        <v>7.9200000000000007E-2</v>
      </c>
      <c r="F31" s="117">
        <v>318.64999999999998</v>
      </c>
      <c r="G31" s="117">
        <f t="shared" si="0"/>
        <v>25.24</v>
      </c>
    </row>
    <row r="32" spans="1:7" ht="38.25" x14ac:dyDescent="0.2">
      <c r="A32" s="118" t="s">
        <v>137</v>
      </c>
      <c r="B32" s="165">
        <v>90439</v>
      </c>
      <c r="C32" s="206" t="s">
        <v>263</v>
      </c>
      <c r="D32" s="7" t="s">
        <v>150</v>
      </c>
      <c r="E32" s="8">
        <v>1</v>
      </c>
      <c r="F32" s="117">
        <v>7.32</v>
      </c>
      <c r="G32" s="117">
        <f t="shared" si="0"/>
        <v>7.32</v>
      </c>
    </row>
    <row r="33" spans="1:7" ht="51" x14ac:dyDescent="0.2">
      <c r="A33" s="118" t="s">
        <v>252</v>
      </c>
      <c r="B33" s="165">
        <v>5090</v>
      </c>
      <c r="C33" s="206" t="s">
        <v>264</v>
      </c>
      <c r="D33" s="7" t="s">
        <v>152</v>
      </c>
      <c r="E33" s="8">
        <v>1</v>
      </c>
      <c r="F33" s="117">
        <v>22.1</v>
      </c>
      <c r="G33" s="117">
        <f t="shared" si="0"/>
        <v>22.1</v>
      </c>
    </row>
    <row r="34" spans="1:7" x14ac:dyDescent="0.2">
      <c r="A34" s="118" t="s">
        <v>137</v>
      </c>
      <c r="B34" s="165">
        <v>88316</v>
      </c>
      <c r="C34" s="206" t="s">
        <v>35</v>
      </c>
      <c r="D34" s="7" t="s">
        <v>151</v>
      </c>
      <c r="E34" s="8">
        <v>0.05</v>
      </c>
      <c r="F34" s="117">
        <v>19.940000000000001</v>
      </c>
      <c r="G34" s="117">
        <f t="shared" si="0"/>
        <v>1</v>
      </c>
    </row>
    <row r="35" spans="1:7" x14ac:dyDescent="0.2">
      <c r="A35" s="118" t="s">
        <v>137</v>
      </c>
      <c r="B35" s="165">
        <v>88264</v>
      </c>
      <c r="C35" s="206" t="s">
        <v>265</v>
      </c>
      <c r="D35" s="7" t="s">
        <v>151</v>
      </c>
      <c r="E35" s="8">
        <v>1.1499999999999999</v>
      </c>
      <c r="F35" s="117">
        <v>25.01</v>
      </c>
      <c r="G35" s="117">
        <f t="shared" si="0"/>
        <v>28.76</v>
      </c>
    </row>
    <row r="36" spans="1:7" x14ac:dyDescent="0.2">
      <c r="A36" s="125"/>
      <c r="B36" s="627" t="s">
        <v>34</v>
      </c>
      <c r="C36" s="627"/>
      <c r="D36" s="627"/>
      <c r="E36" s="220"/>
      <c r="F36" s="32"/>
      <c r="G36" s="126">
        <f>ROUND(SUM(G21:G35),2)</f>
        <v>324.01</v>
      </c>
    </row>
    <row r="37" spans="1:7" x14ac:dyDescent="0.2">
      <c r="A37" s="121"/>
      <c r="B37" s="122"/>
      <c r="C37" s="122"/>
      <c r="D37" s="122"/>
      <c r="E37" s="122"/>
      <c r="F37" s="123"/>
      <c r="G37" s="124"/>
    </row>
    <row r="38" spans="1:7" x14ac:dyDescent="0.2">
      <c r="A38" s="292" t="s">
        <v>4</v>
      </c>
      <c r="B38" s="621" t="s">
        <v>237</v>
      </c>
      <c r="C38" s="622"/>
      <c r="D38" s="622"/>
      <c r="E38" s="622"/>
      <c r="F38" s="623"/>
      <c r="G38" s="220" t="s">
        <v>273</v>
      </c>
    </row>
    <row r="39" spans="1:7" x14ac:dyDescent="0.2">
      <c r="A39" s="13" t="str">
        <f>ORÇAMENTO!A42</f>
        <v>5.3</v>
      </c>
      <c r="B39" s="624" t="s">
        <v>333</v>
      </c>
      <c r="C39" s="625"/>
      <c r="D39" s="625"/>
      <c r="E39" s="625"/>
      <c r="F39" s="625"/>
      <c r="G39" s="626"/>
    </row>
    <row r="40" spans="1:7" x14ac:dyDescent="0.2">
      <c r="A40" s="293" t="s">
        <v>138</v>
      </c>
      <c r="B40" s="6" t="s">
        <v>30</v>
      </c>
      <c r="C40" s="180" t="s">
        <v>155</v>
      </c>
      <c r="D40" s="6" t="s">
        <v>31</v>
      </c>
      <c r="E40" s="6" t="s">
        <v>7</v>
      </c>
      <c r="F40" s="5" t="s">
        <v>32</v>
      </c>
      <c r="G40" s="5" t="s">
        <v>29</v>
      </c>
    </row>
    <row r="41" spans="1:7" ht="25.5" x14ac:dyDescent="0.2">
      <c r="A41" s="630" t="s">
        <v>238</v>
      </c>
      <c r="B41" s="631"/>
      <c r="C41" s="210" t="s">
        <v>334</v>
      </c>
      <c r="D41" s="7" t="s">
        <v>273</v>
      </c>
      <c r="E41" s="8">
        <v>1</v>
      </c>
      <c r="F41" s="117">
        <v>27.14</v>
      </c>
      <c r="G41" s="117">
        <f>ROUND(E41*F41,2)</f>
        <v>27.14</v>
      </c>
    </row>
    <row r="42" spans="1:7" x14ac:dyDescent="0.2">
      <c r="A42" s="118" t="s">
        <v>137</v>
      </c>
      <c r="B42" s="165" t="s">
        <v>270</v>
      </c>
      <c r="C42" s="210" t="s">
        <v>265</v>
      </c>
      <c r="D42" s="7" t="s">
        <v>151</v>
      </c>
      <c r="E42" s="8">
        <v>2.5</v>
      </c>
      <c r="F42" s="117">
        <v>25.01</v>
      </c>
      <c r="G42" s="117">
        <f>ROUND(E42*F42,2)</f>
        <v>62.53</v>
      </c>
    </row>
    <row r="43" spans="1:7" x14ac:dyDescent="0.2">
      <c r="A43" s="118" t="s">
        <v>252</v>
      </c>
      <c r="B43" s="165" t="s">
        <v>271</v>
      </c>
      <c r="C43" s="210" t="s">
        <v>272</v>
      </c>
      <c r="D43" s="7" t="s">
        <v>151</v>
      </c>
      <c r="E43" s="8">
        <v>1.2</v>
      </c>
      <c r="F43" s="117">
        <v>12.3</v>
      </c>
      <c r="G43" s="117">
        <f>ROUND(E43*F43,2)</f>
        <v>14.76</v>
      </c>
    </row>
    <row r="44" spans="1:7" x14ac:dyDescent="0.2">
      <c r="A44" s="125"/>
      <c r="B44" s="627" t="s">
        <v>34</v>
      </c>
      <c r="C44" s="627"/>
      <c r="D44" s="627"/>
      <c r="E44" s="220"/>
      <c r="F44" s="32"/>
      <c r="G44" s="126">
        <f>ROUND(SUM(G41:G43),2)</f>
        <v>104.43</v>
      </c>
    </row>
    <row r="45" spans="1:7" x14ac:dyDescent="0.2">
      <c r="A45" s="121"/>
      <c r="B45" s="122"/>
      <c r="C45" s="122"/>
      <c r="D45" s="122"/>
      <c r="E45" s="122"/>
      <c r="F45" s="123"/>
      <c r="G45" s="124"/>
    </row>
    <row r="46" spans="1:7" x14ac:dyDescent="0.2">
      <c r="A46" s="292" t="s">
        <v>4</v>
      </c>
      <c r="B46" s="621" t="s">
        <v>251</v>
      </c>
      <c r="C46" s="622"/>
      <c r="D46" s="622"/>
      <c r="E46" s="622"/>
      <c r="F46" s="623"/>
      <c r="G46" s="220" t="s">
        <v>273</v>
      </c>
    </row>
    <row r="47" spans="1:7" ht="17.45" customHeight="1" x14ac:dyDescent="0.2">
      <c r="A47" s="13" t="str">
        <f>ORÇAMENTO!A49</f>
        <v>6.3</v>
      </c>
      <c r="B47" s="624" t="s">
        <v>326</v>
      </c>
      <c r="C47" s="625"/>
      <c r="D47" s="625"/>
      <c r="E47" s="625"/>
      <c r="F47" s="625"/>
      <c r="G47" s="626"/>
    </row>
    <row r="48" spans="1:7" x14ac:dyDescent="0.2">
      <c r="A48" s="293" t="s">
        <v>138</v>
      </c>
      <c r="B48" s="6" t="s">
        <v>30</v>
      </c>
      <c r="C48" s="180" t="s">
        <v>155</v>
      </c>
      <c r="D48" s="6" t="s">
        <v>31</v>
      </c>
      <c r="E48" s="6" t="s">
        <v>7</v>
      </c>
      <c r="F48" s="5" t="s">
        <v>32</v>
      </c>
      <c r="G48" s="5" t="s">
        <v>29</v>
      </c>
    </row>
    <row r="49" spans="1:7" ht="25.5" x14ac:dyDescent="0.2">
      <c r="A49" s="630" t="s">
        <v>238</v>
      </c>
      <c r="B49" s="631"/>
      <c r="C49" s="210" t="s">
        <v>330</v>
      </c>
      <c r="D49" s="7" t="s">
        <v>234</v>
      </c>
      <c r="E49" s="8">
        <v>1</v>
      </c>
      <c r="F49" s="117">
        <v>89.91</v>
      </c>
      <c r="G49" s="117">
        <f>ROUND(E49*F49,2)</f>
        <v>89.91</v>
      </c>
    </row>
    <row r="50" spans="1:7" ht="25.5" x14ac:dyDescent="0.2">
      <c r="A50" s="7" t="s">
        <v>252</v>
      </c>
      <c r="B50" s="7" t="s">
        <v>274</v>
      </c>
      <c r="C50" s="270" t="s">
        <v>280</v>
      </c>
      <c r="D50" s="7" t="s">
        <v>286</v>
      </c>
      <c r="E50" s="8">
        <v>0.6</v>
      </c>
      <c r="F50" s="117">
        <v>105.25</v>
      </c>
      <c r="G50" s="117">
        <f t="shared" ref="G50:G56" si="1">ROUND(E50*F50,2)</f>
        <v>63.15</v>
      </c>
    </row>
    <row r="51" spans="1:7" x14ac:dyDescent="0.2">
      <c r="A51" s="7" t="s">
        <v>252</v>
      </c>
      <c r="B51" s="7" t="s">
        <v>275</v>
      </c>
      <c r="C51" s="270" t="s">
        <v>281</v>
      </c>
      <c r="D51" s="7" t="s">
        <v>152</v>
      </c>
      <c r="E51" s="8">
        <v>0.25</v>
      </c>
      <c r="F51" s="117">
        <v>66.17</v>
      </c>
      <c r="G51" s="117">
        <f t="shared" si="1"/>
        <v>16.54</v>
      </c>
    </row>
    <row r="52" spans="1:7" ht="25.5" x14ac:dyDescent="0.2">
      <c r="A52" s="7" t="s">
        <v>252</v>
      </c>
      <c r="B52" s="7" t="s">
        <v>276</v>
      </c>
      <c r="C52" s="270" t="s">
        <v>282</v>
      </c>
      <c r="D52" s="7" t="s">
        <v>152</v>
      </c>
      <c r="E52" s="8">
        <v>1.0200000000000001E-2</v>
      </c>
      <c r="F52" s="117">
        <v>74.97</v>
      </c>
      <c r="G52" s="117">
        <f t="shared" si="1"/>
        <v>0.76</v>
      </c>
    </row>
    <row r="53" spans="1:7" x14ac:dyDescent="0.2">
      <c r="A53" s="7" t="s">
        <v>252</v>
      </c>
      <c r="B53" s="7" t="s">
        <v>277</v>
      </c>
      <c r="C53" s="270" t="s">
        <v>283</v>
      </c>
      <c r="D53" s="7" t="s">
        <v>152</v>
      </c>
      <c r="E53" s="8">
        <v>3.6999999999999998E-2</v>
      </c>
      <c r="F53" s="117">
        <v>2.09</v>
      </c>
      <c r="G53" s="117">
        <f t="shared" si="1"/>
        <v>0.08</v>
      </c>
    </row>
    <row r="54" spans="1:7" ht="25.5" x14ac:dyDescent="0.2">
      <c r="A54" s="7" t="s">
        <v>137</v>
      </c>
      <c r="B54" s="7" t="s">
        <v>279</v>
      </c>
      <c r="C54" s="270" t="s">
        <v>284</v>
      </c>
      <c r="D54" s="7" t="s">
        <v>268</v>
      </c>
      <c r="E54" s="8">
        <v>1.2500000000000001E-2</v>
      </c>
      <c r="F54" s="117">
        <v>273.37</v>
      </c>
      <c r="G54" s="117">
        <f t="shared" si="1"/>
        <v>3.42</v>
      </c>
    </row>
    <row r="55" spans="1:7" ht="25.5" x14ac:dyDescent="0.2">
      <c r="A55" s="7" t="s">
        <v>137</v>
      </c>
      <c r="B55" s="7" t="s">
        <v>278</v>
      </c>
      <c r="C55" s="270" t="s">
        <v>285</v>
      </c>
      <c r="D55" s="7" t="s">
        <v>151</v>
      </c>
      <c r="E55" s="8">
        <v>0.36</v>
      </c>
      <c r="F55" s="117">
        <v>20.72</v>
      </c>
      <c r="G55" s="117">
        <f t="shared" si="1"/>
        <v>7.46</v>
      </c>
    </row>
    <row r="56" spans="1:7" x14ac:dyDescent="0.2">
      <c r="A56" s="7" t="s">
        <v>137</v>
      </c>
      <c r="B56" s="7" t="s">
        <v>270</v>
      </c>
      <c r="C56" s="270" t="s">
        <v>265</v>
      </c>
      <c r="D56" s="7" t="s">
        <v>151</v>
      </c>
      <c r="E56" s="8">
        <v>0.56000000000000005</v>
      </c>
      <c r="F56" s="117">
        <v>25.01</v>
      </c>
      <c r="G56" s="117">
        <f t="shared" si="1"/>
        <v>14.01</v>
      </c>
    </row>
    <row r="57" spans="1:7" x14ac:dyDescent="0.2">
      <c r="A57" s="125"/>
      <c r="B57" s="627" t="s">
        <v>34</v>
      </c>
      <c r="C57" s="627"/>
      <c r="D57" s="627"/>
      <c r="E57" s="220"/>
      <c r="F57" s="32"/>
      <c r="G57" s="126">
        <f>ROUND(SUM(G49:G56),2)</f>
        <v>195.33</v>
      </c>
    </row>
    <row r="58" spans="1:7" x14ac:dyDescent="0.2">
      <c r="A58" s="121"/>
      <c r="B58" s="122"/>
      <c r="C58" s="122"/>
      <c r="D58" s="122"/>
      <c r="E58" s="122"/>
      <c r="F58" s="123"/>
      <c r="G58" s="124"/>
    </row>
    <row r="59" spans="1:7" x14ac:dyDescent="0.2">
      <c r="A59" s="292" t="s">
        <v>4</v>
      </c>
      <c r="B59" s="621" t="s">
        <v>269</v>
      </c>
      <c r="C59" s="622"/>
      <c r="D59" s="622"/>
      <c r="E59" s="622"/>
      <c r="F59" s="623"/>
      <c r="G59" s="220" t="s">
        <v>292</v>
      </c>
    </row>
    <row r="60" spans="1:7" ht="18.600000000000001" customHeight="1" x14ac:dyDescent="0.2">
      <c r="A60" s="13" t="str">
        <f>ORÇAMENTO!A15</f>
        <v>1.1</v>
      </c>
      <c r="B60" s="624" t="s">
        <v>328</v>
      </c>
      <c r="C60" s="625"/>
      <c r="D60" s="625"/>
      <c r="E60" s="625"/>
      <c r="F60" s="625"/>
      <c r="G60" s="626"/>
    </row>
    <row r="61" spans="1:7" x14ac:dyDescent="0.2">
      <c r="A61" s="293" t="s">
        <v>138</v>
      </c>
      <c r="B61" s="6" t="s">
        <v>30</v>
      </c>
      <c r="C61" s="180" t="s">
        <v>155</v>
      </c>
      <c r="D61" s="6" t="s">
        <v>31</v>
      </c>
      <c r="E61" s="6" t="s">
        <v>7</v>
      </c>
      <c r="F61" s="5" t="s">
        <v>32</v>
      </c>
      <c r="G61" s="5" t="s">
        <v>29</v>
      </c>
    </row>
    <row r="62" spans="1:7" ht="25.5" x14ac:dyDescent="0.2">
      <c r="A62" s="630" t="s">
        <v>238</v>
      </c>
      <c r="B62" s="631"/>
      <c r="C62" s="210" t="s">
        <v>327</v>
      </c>
      <c r="D62" s="7" t="s">
        <v>234</v>
      </c>
      <c r="E62" s="8">
        <v>1</v>
      </c>
      <c r="F62" s="117">
        <v>41.96</v>
      </c>
      <c r="G62" s="117">
        <f>ROUND(E62*F62,2)</f>
        <v>41.96</v>
      </c>
    </row>
    <row r="63" spans="1:7" ht="25.5" x14ac:dyDescent="0.2">
      <c r="A63" s="7" t="s">
        <v>252</v>
      </c>
      <c r="B63" s="7" t="s">
        <v>274</v>
      </c>
      <c r="C63" s="270" t="s">
        <v>280</v>
      </c>
      <c r="D63" s="7" t="s">
        <v>286</v>
      </c>
      <c r="E63" s="8">
        <v>0.6</v>
      </c>
      <c r="F63" s="117">
        <v>105.25</v>
      </c>
      <c r="G63" s="117">
        <f t="shared" ref="G63:G69" si="2">ROUND(E63*F63,2)</f>
        <v>63.15</v>
      </c>
    </row>
    <row r="64" spans="1:7" x14ac:dyDescent="0.2">
      <c r="A64" s="7" t="s">
        <v>252</v>
      </c>
      <c r="B64" s="7" t="s">
        <v>275</v>
      </c>
      <c r="C64" s="270" t="s">
        <v>281</v>
      </c>
      <c r="D64" s="7" t="s">
        <v>152</v>
      </c>
      <c r="E64" s="8">
        <v>0.25</v>
      </c>
      <c r="F64" s="117">
        <v>66.17</v>
      </c>
      <c r="G64" s="117">
        <f t="shared" si="2"/>
        <v>16.54</v>
      </c>
    </row>
    <row r="65" spans="1:7" ht="25.5" x14ac:dyDescent="0.2">
      <c r="A65" s="7" t="s">
        <v>252</v>
      </c>
      <c r="B65" s="7" t="s">
        <v>276</v>
      </c>
      <c r="C65" s="270" t="s">
        <v>282</v>
      </c>
      <c r="D65" s="7" t="s">
        <v>152</v>
      </c>
      <c r="E65" s="8">
        <v>1.0200000000000001E-2</v>
      </c>
      <c r="F65" s="117">
        <v>74.97</v>
      </c>
      <c r="G65" s="117">
        <f t="shared" si="2"/>
        <v>0.76</v>
      </c>
    </row>
    <row r="66" spans="1:7" x14ac:dyDescent="0.2">
      <c r="A66" s="7" t="s">
        <v>252</v>
      </c>
      <c r="B66" s="7" t="s">
        <v>277</v>
      </c>
      <c r="C66" s="270" t="s">
        <v>283</v>
      </c>
      <c r="D66" s="7" t="s">
        <v>152</v>
      </c>
      <c r="E66" s="8">
        <v>3.6999999999999998E-2</v>
      </c>
      <c r="F66" s="117">
        <v>2.09</v>
      </c>
      <c r="G66" s="117">
        <f t="shared" si="2"/>
        <v>0.08</v>
      </c>
    </row>
    <row r="67" spans="1:7" ht="25.5" x14ac:dyDescent="0.2">
      <c r="A67" s="7" t="s">
        <v>137</v>
      </c>
      <c r="B67" s="7" t="s">
        <v>279</v>
      </c>
      <c r="C67" s="270" t="s">
        <v>284</v>
      </c>
      <c r="D67" s="7" t="s">
        <v>268</v>
      </c>
      <c r="E67" s="8">
        <v>1.2500000000000001E-2</v>
      </c>
      <c r="F67" s="117">
        <v>273.37</v>
      </c>
      <c r="G67" s="117">
        <f t="shared" si="2"/>
        <v>3.42</v>
      </c>
    </row>
    <row r="68" spans="1:7" ht="25.5" x14ac:dyDescent="0.2">
      <c r="A68" s="7" t="s">
        <v>137</v>
      </c>
      <c r="B68" s="7" t="s">
        <v>278</v>
      </c>
      <c r="C68" s="270" t="s">
        <v>285</v>
      </c>
      <c r="D68" s="7" t="s">
        <v>151</v>
      </c>
      <c r="E68" s="8">
        <v>0.36</v>
      </c>
      <c r="F68" s="117">
        <v>20.72</v>
      </c>
      <c r="G68" s="117">
        <f t="shared" si="2"/>
        <v>7.46</v>
      </c>
    </row>
    <row r="69" spans="1:7" x14ac:dyDescent="0.2">
      <c r="A69" s="7" t="s">
        <v>137</v>
      </c>
      <c r="B69" s="7" t="s">
        <v>270</v>
      </c>
      <c r="C69" s="270" t="s">
        <v>265</v>
      </c>
      <c r="D69" s="7" t="s">
        <v>151</v>
      </c>
      <c r="E69" s="8">
        <v>0.56000000000000005</v>
      </c>
      <c r="F69" s="117">
        <v>25.01</v>
      </c>
      <c r="G69" s="117">
        <f t="shared" si="2"/>
        <v>14.01</v>
      </c>
    </row>
    <row r="70" spans="1:7" x14ac:dyDescent="0.2">
      <c r="A70" s="125"/>
      <c r="B70" s="627" t="s">
        <v>34</v>
      </c>
      <c r="C70" s="627"/>
      <c r="D70" s="627"/>
      <c r="E70" s="220"/>
      <c r="F70" s="32"/>
      <c r="G70" s="126">
        <f>ROUND(SUM(G62:J69),2)</f>
        <v>147.38</v>
      </c>
    </row>
    <row r="71" spans="1:7" x14ac:dyDescent="0.2">
      <c r="A71" s="121"/>
      <c r="B71" s="122"/>
      <c r="C71" s="122"/>
      <c r="D71" s="122"/>
      <c r="E71" s="122"/>
      <c r="F71" s="123"/>
      <c r="G71" s="124"/>
    </row>
    <row r="72" spans="1:7" x14ac:dyDescent="0.2">
      <c r="A72" s="292" t="s">
        <v>4</v>
      </c>
      <c r="B72" s="621" t="s">
        <v>302</v>
      </c>
      <c r="C72" s="622"/>
      <c r="D72" s="622"/>
      <c r="E72" s="622"/>
      <c r="F72" s="623"/>
      <c r="G72" s="220" t="s">
        <v>234</v>
      </c>
    </row>
    <row r="73" spans="1:7" x14ac:dyDescent="0.2">
      <c r="A73" s="13" t="str">
        <f>ORÇAMENTO!A53</f>
        <v>7.1</v>
      </c>
      <c r="B73" s="624" t="s">
        <v>393</v>
      </c>
      <c r="C73" s="625"/>
      <c r="D73" s="625"/>
      <c r="E73" s="625"/>
      <c r="F73" s="625"/>
      <c r="G73" s="626"/>
    </row>
    <row r="74" spans="1:7" x14ac:dyDescent="0.2">
      <c r="A74" s="293" t="s">
        <v>138</v>
      </c>
      <c r="B74" s="6" t="s">
        <v>30</v>
      </c>
      <c r="C74" s="180" t="s">
        <v>155</v>
      </c>
      <c r="D74" s="6" t="s">
        <v>31</v>
      </c>
      <c r="E74" s="6" t="s">
        <v>7</v>
      </c>
      <c r="F74" s="5" t="s">
        <v>32</v>
      </c>
      <c r="G74" s="5" t="s">
        <v>29</v>
      </c>
    </row>
    <row r="75" spans="1:7" x14ac:dyDescent="0.2">
      <c r="A75" s="630" t="s">
        <v>238</v>
      </c>
      <c r="B75" s="631"/>
      <c r="C75" s="210" t="s">
        <v>394</v>
      </c>
      <c r="D75" s="7" t="s">
        <v>152</v>
      </c>
      <c r="E75" s="8">
        <v>1</v>
      </c>
      <c r="F75" s="117">
        <v>19.25</v>
      </c>
      <c r="G75" s="117">
        <f>ROUND(E75*F75,2)</f>
        <v>19.25</v>
      </c>
    </row>
    <row r="76" spans="1:7" x14ac:dyDescent="0.2">
      <c r="A76" s="118" t="s">
        <v>137</v>
      </c>
      <c r="B76" s="165" t="s">
        <v>299</v>
      </c>
      <c r="C76" s="210" t="s">
        <v>35</v>
      </c>
      <c r="D76" s="7" t="s">
        <v>151</v>
      </c>
      <c r="E76" s="8">
        <v>0.15</v>
      </c>
      <c r="F76" s="117">
        <v>19.940000000000001</v>
      </c>
      <c r="G76" s="117">
        <f>ROUND(E76*F76,2)</f>
        <v>2.99</v>
      </c>
    </row>
    <row r="77" spans="1:7" x14ac:dyDescent="0.2">
      <c r="A77" s="118" t="s">
        <v>137</v>
      </c>
      <c r="B77" s="165" t="s">
        <v>300</v>
      </c>
      <c r="C77" s="210" t="s">
        <v>301</v>
      </c>
      <c r="D77" s="7" t="s">
        <v>151</v>
      </c>
      <c r="E77" s="8">
        <v>0.15</v>
      </c>
      <c r="F77" s="117">
        <v>20.88</v>
      </c>
      <c r="G77" s="117">
        <f>ROUND(E77*F77,2)</f>
        <v>3.13</v>
      </c>
    </row>
    <row r="78" spans="1:7" x14ac:dyDescent="0.2">
      <c r="A78" s="125"/>
      <c r="B78" s="627" t="s">
        <v>34</v>
      </c>
      <c r="C78" s="627"/>
      <c r="D78" s="627"/>
      <c r="E78" s="220"/>
      <c r="F78" s="32"/>
      <c r="G78" s="126">
        <f>ROUND(SUM(G75:G77),2)</f>
        <v>25.37</v>
      </c>
    </row>
    <row r="79" spans="1:7" x14ac:dyDescent="0.2">
      <c r="A79" s="121"/>
      <c r="B79" s="122"/>
      <c r="C79" s="122"/>
      <c r="D79" s="122"/>
      <c r="E79" s="122"/>
      <c r="F79" s="123"/>
      <c r="G79" s="124"/>
    </row>
    <row r="80" spans="1:7" x14ac:dyDescent="0.2">
      <c r="A80" s="292" t="s">
        <v>4</v>
      </c>
      <c r="B80" s="621" t="s">
        <v>303</v>
      </c>
      <c r="C80" s="622"/>
      <c r="D80" s="622"/>
      <c r="E80" s="622"/>
      <c r="F80" s="623"/>
      <c r="G80" s="220" t="s">
        <v>273</v>
      </c>
    </row>
    <row r="81" spans="1:7" x14ac:dyDescent="0.2">
      <c r="A81" s="13" t="str">
        <f>ORÇAMENTO!A54</f>
        <v>7.2</v>
      </c>
      <c r="B81" s="624" t="s">
        <v>304</v>
      </c>
      <c r="C81" s="625"/>
      <c r="D81" s="625"/>
      <c r="E81" s="625"/>
      <c r="F81" s="625"/>
      <c r="G81" s="626"/>
    </row>
    <row r="82" spans="1:7" x14ac:dyDescent="0.2">
      <c r="A82" s="293" t="s">
        <v>138</v>
      </c>
      <c r="B82" s="6" t="s">
        <v>30</v>
      </c>
      <c r="C82" s="180" t="s">
        <v>155</v>
      </c>
      <c r="D82" s="6" t="s">
        <v>31</v>
      </c>
      <c r="E82" s="6" t="s">
        <v>7</v>
      </c>
      <c r="F82" s="5" t="s">
        <v>32</v>
      </c>
      <c r="G82" s="5" t="s">
        <v>29</v>
      </c>
    </row>
    <row r="83" spans="1:7" x14ac:dyDescent="0.2">
      <c r="A83" s="630" t="s">
        <v>238</v>
      </c>
      <c r="B83" s="631"/>
      <c r="C83" s="210" t="s">
        <v>305</v>
      </c>
      <c r="D83" s="7" t="s">
        <v>273</v>
      </c>
      <c r="E83" s="8">
        <v>1</v>
      </c>
      <c r="F83" s="117">
        <v>6.25</v>
      </c>
      <c r="G83" s="117">
        <f>ROUND(E83*F83,2)</f>
        <v>6.25</v>
      </c>
    </row>
    <row r="84" spans="1:7" x14ac:dyDescent="0.2">
      <c r="A84" s="118" t="s">
        <v>137</v>
      </c>
      <c r="B84" s="165" t="s">
        <v>299</v>
      </c>
      <c r="C84" s="210" t="s">
        <v>35</v>
      </c>
      <c r="D84" s="7" t="s">
        <v>151</v>
      </c>
      <c r="E84" s="8">
        <v>0.15</v>
      </c>
      <c r="F84" s="117">
        <v>19.940000000000001</v>
      </c>
      <c r="G84" s="117">
        <f>ROUND(E84*F84,2)</f>
        <v>2.99</v>
      </c>
    </row>
    <row r="85" spans="1:7" x14ac:dyDescent="0.2">
      <c r="A85" s="118" t="s">
        <v>137</v>
      </c>
      <c r="B85" s="165" t="s">
        <v>300</v>
      </c>
      <c r="C85" s="210" t="s">
        <v>301</v>
      </c>
      <c r="D85" s="7" t="s">
        <v>151</v>
      </c>
      <c r="E85" s="8">
        <v>0.15</v>
      </c>
      <c r="F85" s="117">
        <v>20.88</v>
      </c>
      <c r="G85" s="117">
        <f>ROUND(E85*F85,2)</f>
        <v>3.13</v>
      </c>
    </row>
    <row r="86" spans="1:7" x14ac:dyDescent="0.2">
      <c r="A86" s="125"/>
      <c r="B86" s="627" t="s">
        <v>34</v>
      </c>
      <c r="C86" s="627"/>
      <c r="D86" s="627"/>
      <c r="E86" s="220"/>
      <c r="F86" s="32"/>
      <c r="G86" s="126">
        <f>ROUND(SUM(G83:G85),2)</f>
        <v>12.37</v>
      </c>
    </row>
    <row r="88" spans="1:7" x14ac:dyDescent="0.2">
      <c r="A88" s="292" t="s">
        <v>4</v>
      </c>
      <c r="B88" s="621" t="s">
        <v>306</v>
      </c>
      <c r="C88" s="622"/>
      <c r="D88" s="622"/>
      <c r="E88" s="622"/>
      <c r="F88" s="623"/>
      <c r="G88" s="220" t="s">
        <v>231</v>
      </c>
    </row>
    <row r="89" spans="1:7" x14ac:dyDescent="0.2">
      <c r="A89" s="13" t="str">
        <f>ORÇAMENTO!A36</f>
        <v>4.3</v>
      </c>
      <c r="B89" s="624" t="s">
        <v>364</v>
      </c>
      <c r="C89" s="625"/>
      <c r="D89" s="625"/>
      <c r="E89" s="625"/>
      <c r="F89" s="625"/>
      <c r="G89" s="626"/>
    </row>
    <row r="90" spans="1:7" x14ac:dyDescent="0.2">
      <c r="A90" s="293" t="s">
        <v>138</v>
      </c>
      <c r="B90" s="6" t="s">
        <v>30</v>
      </c>
      <c r="C90" s="180" t="s">
        <v>155</v>
      </c>
      <c r="D90" s="6" t="s">
        <v>31</v>
      </c>
      <c r="E90" s="6" t="s">
        <v>7</v>
      </c>
      <c r="F90" s="5" t="s">
        <v>32</v>
      </c>
      <c r="G90" s="5" t="s">
        <v>29</v>
      </c>
    </row>
    <row r="91" spans="1:7" ht="25.5" x14ac:dyDescent="0.2">
      <c r="A91" s="118" t="s">
        <v>137</v>
      </c>
      <c r="B91" s="165" t="s">
        <v>318</v>
      </c>
      <c r="C91" s="210" t="s">
        <v>319</v>
      </c>
      <c r="D91" s="7" t="s">
        <v>151</v>
      </c>
      <c r="E91" s="8">
        <v>12</v>
      </c>
      <c r="F91" s="117">
        <v>21.49</v>
      </c>
      <c r="G91" s="117">
        <f t="shared" ref="G91:G95" si="3">ROUND(E91*F91,2)</f>
        <v>257.88</v>
      </c>
    </row>
    <row r="92" spans="1:7" x14ac:dyDescent="0.2">
      <c r="A92" s="118" t="s">
        <v>137</v>
      </c>
      <c r="B92" s="165" t="s">
        <v>299</v>
      </c>
      <c r="C92" s="210" t="s">
        <v>35</v>
      </c>
      <c r="D92" s="7" t="s">
        <v>151</v>
      </c>
      <c r="E92" s="8">
        <v>12</v>
      </c>
      <c r="F92" s="117">
        <v>19.940000000000001</v>
      </c>
      <c r="G92" s="117">
        <f t="shared" si="3"/>
        <v>239.28</v>
      </c>
    </row>
    <row r="93" spans="1:7" x14ac:dyDescent="0.2">
      <c r="A93" s="118" t="s">
        <v>137</v>
      </c>
      <c r="B93" s="165" t="s">
        <v>316</v>
      </c>
      <c r="C93" s="210" t="s">
        <v>317</v>
      </c>
      <c r="D93" s="7" t="s">
        <v>151</v>
      </c>
      <c r="E93" s="8">
        <v>12</v>
      </c>
      <c r="F93" s="117">
        <v>25.49</v>
      </c>
      <c r="G93" s="117">
        <f t="shared" si="3"/>
        <v>305.88</v>
      </c>
    </row>
    <row r="94" spans="1:7" ht="63.75" x14ac:dyDescent="0.2">
      <c r="A94" s="118" t="s">
        <v>137</v>
      </c>
      <c r="B94" s="165" t="s">
        <v>355</v>
      </c>
      <c r="C94" s="210" t="s">
        <v>356</v>
      </c>
      <c r="D94" s="7" t="s">
        <v>357</v>
      </c>
      <c r="E94" s="8">
        <v>3.5</v>
      </c>
      <c r="F94" s="117">
        <v>274.14999999999998</v>
      </c>
      <c r="G94" s="117">
        <f t="shared" si="3"/>
        <v>959.53</v>
      </c>
    </row>
    <row r="95" spans="1:7" ht="63.75" x14ac:dyDescent="0.2">
      <c r="A95" s="118" t="s">
        <v>137</v>
      </c>
      <c r="B95" s="165" t="s">
        <v>358</v>
      </c>
      <c r="C95" s="210" t="s">
        <v>359</v>
      </c>
      <c r="D95" s="7" t="s">
        <v>360</v>
      </c>
      <c r="E95" s="8">
        <f>E94</f>
        <v>3.5</v>
      </c>
      <c r="F95" s="117">
        <v>67.459999999999994</v>
      </c>
      <c r="G95" s="117">
        <f t="shared" si="3"/>
        <v>236.11</v>
      </c>
    </row>
    <row r="96" spans="1:7" x14ac:dyDescent="0.2">
      <c r="A96" s="125"/>
      <c r="B96" s="627" t="s">
        <v>34</v>
      </c>
      <c r="C96" s="627"/>
      <c r="D96" s="627"/>
      <c r="E96" s="220"/>
      <c r="F96" s="32"/>
      <c r="G96" s="126">
        <f>ROUND(SUM(G91:G95),2)</f>
        <v>1998.68</v>
      </c>
    </row>
    <row r="98" spans="1:7" x14ac:dyDescent="0.2">
      <c r="A98" s="292" t="s">
        <v>4</v>
      </c>
      <c r="B98" s="621" t="s">
        <v>315</v>
      </c>
      <c r="C98" s="622"/>
      <c r="D98" s="622"/>
      <c r="E98" s="622"/>
      <c r="F98" s="623"/>
      <c r="G98" s="220" t="s">
        <v>231</v>
      </c>
    </row>
    <row r="99" spans="1:7" x14ac:dyDescent="0.2">
      <c r="A99" s="13" t="str">
        <f>ORÇAMENTO!A37</f>
        <v>4.4</v>
      </c>
      <c r="B99" s="624" t="s">
        <v>363</v>
      </c>
      <c r="C99" s="625"/>
      <c r="D99" s="625"/>
      <c r="E99" s="625"/>
      <c r="F99" s="625"/>
      <c r="G99" s="626"/>
    </row>
    <row r="100" spans="1:7" x14ac:dyDescent="0.2">
      <c r="A100" s="293" t="s">
        <v>138</v>
      </c>
      <c r="B100" s="6" t="s">
        <v>30</v>
      </c>
      <c r="C100" s="180" t="s">
        <v>155</v>
      </c>
      <c r="D100" s="6" t="s">
        <v>31</v>
      </c>
      <c r="E100" s="6" t="s">
        <v>7</v>
      </c>
      <c r="F100" s="5" t="s">
        <v>32</v>
      </c>
      <c r="G100" s="5" t="s">
        <v>29</v>
      </c>
    </row>
    <row r="101" spans="1:7" ht="63.75" x14ac:dyDescent="0.2">
      <c r="A101" s="118" t="s">
        <v>137</v>
      </c>
      <c r="B101" s="165" t="s">
        <v>355</v>
      </c>
      <c r="C101" s="210" t="s">
        <v>356</v>
      </c>
      <c r="D101" s="7" t="s">
        <v>357</v>
      </c>
      <c r="E101" s="8">
        <v>19.2</v>
      </c>
      <c r="F101" s="117">
        <v>274.14999999999998</v>
      </c>
      <c r="G101" s="117">
        <f t="shared" ref="G101:G102" si="4">ROUND(E101*F101,2)</f>
        <v>5263.68</v>
      </c>
    </row>
    <row r="102" spans="1:7" ht="63.75" x14ac:dyDescent="0.2">
      <c r="A102" s="118" t="s">
        <v>137</v>
      </c>
      <c r="B102" s="165" t="s">
        <v>358</v>
      </c>
      <c r="C102" s="210" t="s">
        <v>359</v>
      </c>
      <c r="D102" s="7" t="s">
        <v>360</v>
      </c>
      <c r="E102" s="8">
        <f>E101</f>
        <v>19.2</v>
      </c>
      <c r="F102" s="117">
        <v>67.459999999999994</v>
      </c>
      <c r="G102" s="117">
        <f t="shared" si="4"/>
        <v>1295.23</v>
      </c>
    </row>
    <row r="103" spans="1:7" x14ac:dyDescent="0.2">
      <c r="A103" s="125"/>
      <c r="B103" s="627" t="s">
        <v>34</v>
      </c>
      <c r="C103" s="627"/>
      <c r="D103" s="627"/>
      <c r="E103" s="220"/>
      <c r="F103" s="32"/>
      <c r="G103" s="126">
        <f>ROUND(SUM(G101:G102),2)</f>
        <v>6558.91</v>
      </c>
    </row>
    <row r="104" spans="1:7" ht="17.45" customHeight="1" x14ac:dyDescent="0.2">
      <c r="A104" s="4"/>
    </row>
    <row r="105" spans="1:7" x14ac:dyDescent="0.2">
      <c r="A105" s="292" t="s">
        <v>4</v>
      </c>
      <c r="B105" s="621" t="s">
        <v>365</v>
      </c>
      <c r="C105" s="622"/>
      <c r="D105" s="622"/>
      <c r="E105" s="622"/>
      <c r="F105" s="623"/>
      <c r="G105" s="220" t="s">
        <v>231</v>
      </c>
    </row>
    <row r="106" spans="1:7" x14ac:dyDescent="0.2">
      <c r="A106" s="13">
        <f>ORÇAMENTO!A51</f>
        <v>0</v>
      </c>
      <c r="B106" s="624" t="s">
        <v>366</v>
      </c>
      <c r="C106" s="625"/>
      <c r="D106" s="625"/>
      <c r="E106" s="625"/>
      <c r="F106" s="625"/>
      <c r="G106" s="626"/>
    </row>
    <row r="107" spans="1:7" x14ac:dyDescent="0.2">
      <c r="A107" s="293" t="s">
        <v>138</v>
      </c>
      <c r="B107" s="6" t="s">
        <v>30</v>
      </c>
      <c r="C107" s="180" t="s">
        <v>155</v>
      </c>
      <c r="D107" s="6" t="s">
        <v>31</v>
      </c>
      <c r="E107" s="6" t="s">
        <v>7</v>
      </c>
      <c r="F107" s="5" t="s">
        <v>32</v>
      </c>
      <c r="G107" s="5" t="s">
        <v>29</v>
      </c>
    </row>
    <row r="108" spans="1:7" ht="33.75" customHeight="1" x14ac:dyDescent="0.2">
      <c r="A108" s="118" t="s">
        <v>252</v>
      </c>
      <c r="B108" s="350">
        <v>1321</v>
      </c>
      <c r="C108" s="210" t="s">
        <v>367</v>
      </c>
      <c r="D108" s="351" t="s">
        <v>369</v>
      </c>
      <c r="E108" s="7">
        <f>24*18</f>
        <v>432</v>
      </c>
      <c r="F108" s="375">
        <v>8.83</v>
      </c>
      <c r="G108" s="376">
        <f t="shared" ref="G108:G112" si="5">ROUND(E108*F108,2)</f>
        <v>3814.56</v>
      </c>
    </row>
    <row r="109" spans="1:7" x14ac:dyDescent="0.2">
      <c r="A109" s="628" t="s">
        <v>377</v>
      </c>
      <c r="B109" s="629"/>
      <c r="C109" s="210" t="s">
        <v>379</v>
      </c>
      <c r="D109" s="351" t="s">
        <v>31</v>
      </c>
      <c r="E109" s="7">
        <v>100</v>
      </c>
      <c r="F109" s="375">
        <v>25</v>
      </c>
      <c r="G109" s="376">
        <f t="shared" si="5"/>
        <v>2500</v>
      </c>
    </row>
    <row r="110" spans="1:7" ht="41.25" customHeight="1" x14ac:dyDescent="0.2">
      <c r="A110" s="118" t="s">
        <v>252</v>
      </c>
      <c r="B110" s="350">
        <v>43665</v>
      </c>
      <c r="C110" s="210" t="s">
        <v>378</v>
      </c>
      <c r="D110" s="351" t="s">
        <v>369</v>
      </c>
      <c r="E110" s="7">
        <f>20*8.74</f>
        <v>174.8</v>
      </c>
      <c r="F110" s="375">
        <v>8.59</v>
      </c>
      <c r="G110" s="376">
        <f t="shared" si="5"/>
        <v>1501.53</v>
      </c>
    </row>
    <row r="111" spans="1:7" ht="25.5" x14ac:dyDescent="0.2">
      <c r="A111" s="118" t="s">
        <v>252</v>
      </c>
      <c r="B111" s="350">
        <v>11002</v>
      </c>
      <c r="C111" s="210" t="s">
        <v>368</v>
      </c>
      <c r="D111" s="351" t="s">
        <v>369</v>
      </c>
      <c r="E111" s="7">
        <v>7.5</v>
      </c>
      <c r="F111" s="375">
        <v>62.02</v>
      </c>
      <c r="G111" s="376">
        <f t="shared" si="5"/>
        <v>465.15</v>
      </c>
    </row>
    <row r="112" spans="1:7" ht="25.5" x14ac:dyDescent="0.2">
      <c r="A112" s="118" t="s">
        <v>252</v>
      </c>
      <c r="B112" s="350">
        <v>44533</v>
      </c>
      <c r="C112" s="210" t="s">
        <v>370</v>
      </c>
      <c r="D112" s="351" t="s">
        <v>31</v>
      </c>
      <c r="E112" s="7">
        <v>6</v>
      </c>
      <c r="F112" s="375">
        <v>19.89</v>
      </c>
      <c r="G112" s="376">
        <f t="shared" si="5"/>
        <v>119.34</v>
      </c>
    </row>
    <row r="113" spans="1:13" ht="25.5" x14ac:dyDescent="0.2">
      <c r="A113" s="118" t="s">
        <v>252</v>
      </c>
      <c r="B113" s="350">
        <v>44495</v>
      </c>
      <c r="C113" s="210" t="s">
        <v>371</v>
      </c>
      <c r="D113" s="351" t="s">
        <v>31</v>
      </c>
      <c r="E113" s="7">
        <v>12</v>
      </c>
      <c r="F113" s="375">
        <v>21.07</v>
      </c>
      <c r="G113" s="376">
        <f>ROUND(E113*F113,2)</f>
        <v>252.84</v>
      </c>
    </row>
    <row r="114" spans="1:13" ht="25.5" x14ac:dyDescent="0.2">
      <c r="A114" s="118" t="s">
        <v>252</v>
      </c>
      <c r="B114" s="350">
        <v>44534</v>
      </c>
      <c r="C114" s="210" t="s">
        <v>372</v>
      </c>
      <c r="D114" s="351" t="s">
        <v>31</v>
      </c>
      <c r="E114" s="7">
        <v>8</v>
      </c>
      <c r="F114" s="375">
        <v>5.18</v>
      </c>
      <c r="G114" s="376">
        <f>ROUND(E114*F114,2)</f>
        <v>41.44</v>
      </c>
    </row>
    <row r="115" spans="1:13" ht="25.5" x14ac:dyDescent="0.2">
      <c r="A115" s="118" t="s">
        <v>137</v>
      </c>
      <c r="B115" s="165" t="s">
        <v>318</v>
      </c>
      <c r="C115" s="210" t="s">
        <v>319</v>
      </c>
      <c r="D115" s="7" t="s">
        <v>151</v>
      </c>
      <c r="E115" s="8">
        <v>8</v>
      </c>
      <c r="F115" s="375">
        <v>21.49</v>
      </c>
      <c r="G115" s="376">
        <f t="shared" ref="G115:G122" si="6">ROUND(E115*F115,2)</f>
        <v>171.92</v>
      </c>
    </row>
    <row r="116" spans="1:13" x14ac:dyDescent="0.2">
      <c r="A116" s="118" t="s">
        <v>137</v>
      </c>
      <c r="B116" s="165" t="s">
        <v>299</v>
      </c>
      <c r="C116" s="210" t="s">
        <v>35</v>
      </c>
      <c r="D116" s="7" t="s">
        <v>151</v>
      </c>
      <c r="E116" s="8">
        <f>5*8</f>
        <v>40</v>
      </c>
      <c r="F116" s="375">
        <v>19.940000000000001</v>
      </c>
      <c r="G116" s="376">
        <f t="shared" si="6"/>
        <v>797.6</v>
      </c>
    </row>
    <row r="117" spans="1:13" x14ac:dyDescent="0.2">
      <c r="A117" s="118" t="s">
        <v>137</v>
      </c>
      <c r="B117" s="165" t="s">
        <v>316</v>
      </c>
      <c r="C117" s="210" t="s">
        <v>317</v>
      </c>
      <c r="D117" s="7" t="s">
        <v>151</v>
      </c>
      <c r="E117" s="8">
        <f>5*8</f>
        <v>40</v>
      </c>
      <c r="F117" s="375">
        <v>25.49</v>
      </c>
      <c r="G117" s="376">
        <f t="shared" si="6"/>
        <v>1019.6</v>
      </c>
    </row>
    <row r="118" spans="1:13" ht="55.5" customHeight="1" x14ac:dyDescent="0.2">
      <c r="A118" s="118" t="s">
        <v>137</v>
      </c>
      <c r="B118" s="165">
        <v>100752</v>
      </c>
      <c r="C118" s="210" t="s">
        <v>373</v>
      </c>
      <c r="D118" s="7" t="s">
        <v>267</v>
      </c>
      <c r="E118" s="8">
        <v>48</v>
      </c>
      <c r="F118" s="375">
        <v>48.13</v>
      </c>
      <c r="G118" s="376">
        <f t="shared" si="6"/>
        <v>2310.2399999999998</v>
      </c>
    </row>
    <row r="119" spans="1:13" ht="55.5" customHeight="1" x14ac:dyDescent="0.2">
      <c r="A119" s="118" t="s">
        <v>137</v>
      </c>
      <c r="B119" s="165">
        <v>100721</v>
      </c>
      <c r="C119" s="210" t="s">
        <v>374</v>
      </c>
      <c r="D119" s="7" t="s">
        <v>267</v>
      </c>
      <c r="E119" s="8">
        <v>48</v>
      </c>
      <c r="F119" s="375">
        <v>24.23</v>
      </c>
      <c r="G119" s="376">
        <f t="shared" si="6"/>
        <v>1163.04</v>
      </c>
    </row>
    <row r="120" spans="1:13" ht="55.5" customHeight="1" x14ac:dyDescent="0.2">
      <c r="A120" s="628" t="s">
        <v>377</v>
      </c>
      <c r="B120" s="629"/>
      <c r="C120" s="210" t="s">
        <v>375</v>
      </c>
      <c r="D120" s="7" t="s">
        <v>376</v>
      </c>
      <c r="E120" s="8">
        <v>25</v>
      </c>
      <c r="F120" s="375">
        <v>41.41</v>
      </c>
      <c r="G120" s="376">
        <f t="shared" si="6"/>
        <v>1035.25</v>
      </c>
    </row>
    <row r="121" spans="1:13" ht="63.75" x14ac:dyDescent="0.2">
      <c r="A121" s="118" t="s">
        <v>137</v>
      </c>
      <c r="B121" s="165" t="s">
        <v>355</v>
      </c>
      <c r="C121" s="210" t="s">
        <v>356</v>
      </c>
      <c r="D121" s="7" t="s">
        <v>357</v>
      </c>
      <c r="E121" s="8">
        <v>5.6</v>
      </c>
      <c r="F121" s="375">
        <v>274.14999999999998</v>
      </c>
      <c r="G121" s="376">
        <f t="shared" si="6"/>
        <v>1535.24</v>
      </c>
    </row>
    <row r="122" spans="1:13" ht="63.75" x14ac:dyDescent="0.2">
      <c r="A122" s="118" t="s">
        <v>137</v>
      </c>
      <c r="B122" s="165" t="s">
        <v>358</v>
      </c>
      <c r="C122" s="210" t="s">
        <v>359</v>
      </c>
      <c r="D122" s="7" t="s">
        <v>360</v>
      </c>
      <c r="E122" s="8">
        <v>2.4</v>
      </c>
      <c r="F122" s="375">
        <v>67.459999999999994</v>
      </c>
      <c r="G122" s="376">
        <f t="shared" si="6"/>
        <v>161.9</v>
      </c>
      <c r="L122" s="4">
        <v>8</v>
      </c>
      <c r="M122" s="4">
        <f>0.3*L122</f>
        <v>2.4</v>
      </c>
    </row>
    <row r="123" spans="1:13" x14ac:dyDescent="0.2">
      <c r="A123" s="125"/>
      <c r="B123" s="627" t="s">
        <v>34</v>
      </c>
      <c r="C123" s="627"/>
      <c r="D123" s="627"/>
      <c r="E123" s="220"/>
      <c r="F123" s="32"/>
      <c r="G123" s="126">
        <f>ROUND(SUM(G108:G122),2)</f>
        <v>16889.650000000001</v>
      </c>
      <c r="K123" s="352">
        <f>G123*1.2882</f>
        <v>21757.247130000003</v>
      </c>
    </row>
    <row r="125" spans="1:13" x14ac:dyDescent="0.2">
      <c r="K125" s="4">
        <v>35600</v>
      </c>
    </row>
    <row r="127" spans="1:13" x14ac:dyDescent="0.2">
      <c r="K127" s="353">
        <f>K125/G123</f>
        <v>2.1077997471824457</v>
      </c>
    </row>
  </sheetData>
  <mergeCells count="53">
    <mergeCell ref="B99:G99"/>
    <mergeCell ref="B103:D103"/>
    <mergeCell ref="B88:F88"/>
    <mergeCell ref="B89:G89"/>
    <mergeCell ref="B96:D96"/>
    <mergeCell ref="B98:F98"/>
    <mergeCell ref="B11:F11"/>
    <mergeCell ref="A21:B21"/>
    <mergeCell ref="B16:D16"/>
    <mergeCell ref="B18:F18"/>
    <mergeCell ref="B19:G19"/>
    <mergeCell ref="B12:G12"/>
    <mergeCell ref="B1:G1"/>
    <mergeCell ref="A9:G9"/>
    <mergeCell ref="B2:D2"/>
    <mergeCell ref="B3:D3"/>
    <mergeCell ref="B4:D4"/>
    <mergeCell ref="A6:A7"/>
    <mergeCell ref="F2:I2"/>
    <mergeCell ref="F5:I5"/>
    <mergeCell ref="F7:I7"/>
    <mergeCell ref="B6:D7"/>
    <mergeCell ref="F3:I3"/>
    <mergeCell ref="F4:I4"/>
    <mergeCell ref="F6:I6"/>
    <mergeCell ref="E3:E4"/>
    <mergeCell ref="B5:D5"/>
    <mergeCell ref="B59:F59"/>
    <mergeCell ref="B60:G60"/>
    <mergeCell ref="B70:D70"/>
    <mergeCell ref="A62:B62"/>
    <mergeCell ref="B46:F46"/>
    <mergeCell ref="B47:G47"/>
    <mergeCell ref="A49:B49"/>
    <mergeCell ref="B57:D57"/>
    <mergeCell ref="B44:D44"/>
    <mergeCell ref="B38:F38"/>
    <mergeCell ref="B39:G39"/>
    <mergeCell ref="A41:B41"/>
    <mergeCell ref="B36:D36"/>
    <mergeCell ref="B86:D86"/>
    <mergeCell ref="B80:F80"/>
    <mergeCell ref="B81:G81"/>
    <mergeCell ref="B72:F72"/>
    <mergeCell ref="B73:G73"/>
    <mergeCell ref="A75:B75"/>
    <mergeCell ref="B78:D78"/>
    <mergeCell ref="A83:B83"/>
    <mergeCell ref="B105:F105"/>
    <mergeCell ref="B106:G106"/>
    <mergeCell ref="B123:D123"/>
    <mergeCell ref="A120:B120"/>
    <mergeCell ref="A109:B109"/>
  </mergeCells>
  <phoneticPr fontId="5" type="noConversion"/>
  <pageMargins left="0.7" right="0.7" top="0.75" bottom="0.75" header="0.3" footer="0.3"/>
  <pageSetup paperSize="9" scale="54" fitToHeight="0" orientation="portrait" r:id="rId1"/>
  <headerFooter>
    <oddFooter>&amp;C&amp;G</oddFooter>
  </headerFooter>
  <rowBreaks count="2" manualBreakCount="2">
    <brk id="67" max="6" man="1"/>
    <brk id="124" max="6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3"/>
  <sheetViews>
    <sheetView view="pageBreakPreview" topLeftCell="A22" zoomScale="90" zoomScaleNormal="90" zoomScaleSheetLayoutView="90" zoomScalePageLayoutView="85" workbookViewId="0">
      <selection activeCell="B1" sqref="B1:H1"/>
    </sheetView>
  </sheetViews>
  <sheetFormatPr defaultColWidth="9.140625" defaultRowHeight="12.75" x14ac:dyDescent="0.2"/>
  <cols>
    <col min="1" max="1" width="13.7109375" style="34" customWidth="1"/>
    <col min="2" max="2" width="11.5703125" style="34" customWidth="1"/>
    <col min="3" max="3" width="13.5703125" style="34" customWidth="1"/>
    <col min="4" max="4" width="66.7109375" style="211" customWidth="1"/>
    <col min="5" max="5" width="11" style="155" customWidth="1"/>
    <col min="6" max="6" width="13.140625" style="166" customWidth="1"/>
    <col min="7" max="8" width="14" style="155" customWidth="1"/>
    <col min="9" max="9" width="17.7109375" style="167" customWidth="1"/>
    <col min="10" max="10" width="10.42578125" style="34" customWidth="1"/>
    <col min="11" max="11" width="13.42578125" style="34" customWidth="1"/>
    <col min="12" max="12" width="26.42578125" style="34" customWidth="1"/>
    <col min="13" max="13" width="12.42578125" style="34" customWidth="1"/>
    <col min="14" max="14" width="9.140625" style="34"/>
    <col min="15" max="15" width="29" style="34" bestFit="1" customWidth="1"/>
    <col min="16" max="16" width="12" style="34" bestFit="1" customWidth="1"/>
    <col min="17" max="17" width="13.140625" style="34" bestFit="1" customWidth="1"/>
    <col min="18" max="16384" width="9.140625" style="34"/>
  </cols>
  <sheetData>
    <row r="1" spans="1:17" ht="69.95" customHeight="1" x14ac:dyDescent="0.2">
      <c r="A1" s="163"/>
      <c r="B1" s="506" t="s">
        <v>339</v>
      </c>
      <c r="C1" s="506"/>
      <c r="D1" s="506"/>
      <c r="E1" s="506"/>
      <c r="F1" s="506"/>
      <c r="G1" s="506"/>
      <c r="H1" s="506"/>
      <c r="I1" s="108"/>
      <c r="J1" s="295"/>
    </row>
    <row r="2" spans="1:17" s="4" customFormat="1" ht="21.75" customHeight="1" x14ac:dyDescent="0.2">
      <c r="A2" s="288" t="s">
        <v>59</v>
      </c>
      <c r="B2" s="646" t="s">
        <v>153</v>
      </c>
      <c r="C2" s="646"/>
      <c r="D2" s="646"/>
      <c r="E2" s="648" t="s">
        <v>64</v>
      </c>
      <c r="F2" s="648"/>
      <c r="G2" s="645" t="s">
        <v>154</v>
      </c>
      <c r="H2" s="645"/>
      <c r="I2" s="645"/>
      <c r="J2" s="239"/>
      <c r="K2" s="94"/>
    </row>
    <row r="3" spans="1:17" s="4" customFormat="1" ht="18.75" customHeight="1" x14ac:dyDescent="0.2">
      <c r="A3" s="288" t="s">
        <v>60</v>
      </c>
      <c r="B3" s="646" t="s">
        <v>241</v>
      </c>
      <c r="C3" s="646"/>
      <c r="D3" s="646"/>
      <c r="E3" s="396" t="s">
        <v>37</v>
      </c>
      <c r="F3" s="396"/>
      <c r="G3" s="646" t="s">
        <v>395</v>
      </c>
      <c r="H3" s="646"/>
      <c r="I3" s="646"/>
      <c r="J3" s="240"/>
      <c r="K3" s="94"/>
    </row>
    <row r="4" spans="1:17" s="4" customFormat="1" ht="18" customHeight="1" x14ac:dyDescent="0.2">
      <c r="A4" s="288" t="s">
        <v>133</v>
      </c>
      <c r="B4" s="646" t="s">
        <v>190</v>
      </c>
      <c r="C4" s="646"/>
      <c r="D4" s="646"/>
      <c r="E4" s="396"/>
      <c r="F4" s="396"/>
      <c r="G4" s="646" t="s">
        <v>396</v>
      </c>
      <c r="H4" s="646"/>
      <c r="I4" s="646"/>
      <c r="J4" s="241"/>
      <c r="K4" s="96"/>
      <c r="L4" s="97"/>
    </row>
    <row r="5" spans="1:17" s="4" customFormat="1" ht="18" customHeight="1" x14ac:dyDescent="0.2">
      <c r="A5" s="651" t="s">
        <v>192</v>
      </c>
      <c r="B5" s="653">
        <f>I59</f>
        <v>215716.49</v>
      </c>
      <c r="C5" s="654"/>
      <c r="D5" s="655"/>
      <c r="E5" s="396" t="s">
        <v>362</v>
      </c>
      <c r="F5" s="396"/>
      <c r="G5" s="650">
        <f>'BDI-SERVIÇOS'!I24</f>
        <v>0.29769428939090381</v>
      </c>
      <c r="H5" s="650"/>
      <c r="I5" s="650"/>
      <c r="J5" s="242"/>
      <c r="K5" s="94"/>
    </row>
    <row r="6" spans="1:17" s="4" customFormat="1" ht="18" customHeight="1" x14ac:dyDescent="0.2">
      <c r="A6" s="652"/>
      <c r="B6" s="656"/>
      <c r="C6" s="657"/>
      <c r="D6" s="658"/>
      <c r="E6" s="396" t="s">
        <v>353</v>
      </c>
      <c r="F6" s="396"/>
      <c r="G6" s="650">
        <f>'BDI - EQP'!I29</f>
        <v>0.16323475340228599</v>
      </c>
      <c r="H6" s="650"/>
      <c r="I6" s="650"/>
      <c r="J6" s="349"/>
      <c r="K6" s="94"/>
    </row>
    <row r="7" spans="1:17" s="4" customFormat="1" ht="18" customHeight="1" x14ac:dyDescent="0.2">
      <c r="A7" s="396" t="s">
        <v>62</v>
      </c>
      <c r="B7" s="647" t="s">
        <v>140</v>
      </c>
      <c r="C7" s="647"/>
      <c r="D7" s="647"/>
      <c r="E7" s="396" t="s">
        <v>191</v>
      </c>
      <c r="F7" s="396"/>
      <c r="G7" s="669">
        <f ca="1">TODAY()</f>
        <v>45556</v>
      </c>
      <c r="H7" s="669"/>
      <c r="I7" s="669"/>
      <c r="J7" s="243"/>
      <c r="K7" s="94"/>
    </row>
    <row r="8" spans="1:17" s="4" customFormat="1" ht="22.9" customHeight="1" x14ac:dyDescent="0.2">
      <c r="A8" s="396"/>
      <c r="B8" s="647"/>
      <c r="C8" s="647"/>
      <c r="D8" s="647"/>
      <c r="E8" s="649" t="s">
        <v>63</v>
      </c>
      <c r="F8" s="649"/>
      <c r="G8" s="670" t="s">
        <v>139</v>
      </c>
      <c r="H8" s="670"/>
      <c r="I8" s="670"/>
      <c r="J8" s="244"/>
      <c r="K8" s="94"/>
    </row>
    <row r="9" spans="1:17" ht="8.25" customHeight="1" thickBot="1" x14ac:dyDescent="0.25">
      <c r="A9" s="163"/>
      <c r="B9" s="163"/>
      <c r="C9" s="163"/>
      <c r="D9" s="163"/>
      <c r="E9" s="163"/>
      <c r="F9" s="163"/>
      <c r="G9" s="163"/>
      <c r="H9" s="163"/>
      <c r="I9" s="163"/>
    </row>
    <row r="10" spans="1:17" ht="16.5" customHeight="1" thickBot="1" x14ac:dyDescent="0.25">
      <c r="A10" s="663" t="s">
        <v>141</v>
      </c>
      <c r="B10" s="664"/>
      <c r="C10" s="664"/>
      <c r="D10" s="664"/>
      <c r="E10" s="664"/>
      <c r="F10" s="664"/>
      <c r="G10" s="664"/>
      <c r="H10" s="664"/>
      <c r="I10" s="664"/>
      <c r="J10" s="665"/>
    </row>
    <row r="11" spans="1:17" ht="8.25" customHeight="1" thickBot="1" x14ac:dyDescent="0.25"/>
    <row r="12" spans="1:17" ht="26.25" thickBot="1" x14ac:dyDescent="0.25">
      <c r="A12" s="9" t="s">
        <v>4</v>
      </c>
      <c r="B12" s="9" t="s">
        <v>138</v>
      </c>
      <c r="C12" s="9" t="s">
        <v>30</v>
      </c>
      <c r="D12" s="9" t="s">
        <v>5</v>
      </c>
      <c r="E12" s="9" t="s">
        <v>6</v>
      </c>
      <c r="F12" s="10" t="s">
        <v>7</v>
      </c>
      <c r="G12" s="11" t="s">
        <v>8</v>
      </c>
      <c r="H12" s="11" t="s">
        <v>25</v>
      </c>
      <c r="I12" s="294" t="s">
        <v>9</v>
      </c>
      <c r="J12" s="12" t="s">
        <v>24</v>
      </c>
      <c r="K12" s="172">
        <f>G5+1</f>
        <v>1.2976942893909038</v>
      </c>
      <c r="L12" s="172">
        <f>G6+1</f>
        <v>1.163234753402286</v>
      </c>
    </row>
    <row r="13" spans="1:17" ht="13.5" thickBot="1" x14ac:dyDescent="0.25">
      <c r="L13" s="34" t="s">
        <v>171</v>
      </c>
    </row>
    <row r="14" spans="1:17" ht="19.5" customHeight="1" thickBot="1" x14ac:dyDescent="0.25">
      <c r="A14" s="120">
        <v>1</v>
      </c>
      <c r="B14" s="643"/>
      <c r="C14" s="644"/>
      <c r="D14" s="156" t="s">
        <v>157</v>
      </c>
      <c r="E14" s="157"/>
      <c r="F14" s="157"/>
      <c r="G14" s="157"/>
      <c r="H14" s="157"/>
      <c r="I14" s="158"/>
      <c r="J14" s="287"/>
      <c r="Q14" s="168"/>
    </row>
    <row r="15" spans="1:17" ht="27" customHeight="1" x14ac:dyDescent="0.2">
      <c r="A15" s="1" t="s">
        <v>159</v>
      </c>
      <c r="B15" s="671" t="str">
        <f>COMPOSIÇÕES!B11</f>
        <v>COMPOSIÇÃO 1</v>
      </c>
      <c r="C15" s="672"/>
      <c r="D15" s="221" t="str">
        <f>COMPOSIÇÕES!B12</f>
        <v>ADMINISTRAÇÃO DA OBRA COM ENGENHEIRO CIVIL E ENCARREGADO GERAL</v>
      </c>
      <c r="E15" s="161" t="s">
        <v>33</v>
      </c>
      <c r="F15" s="169">
        <f>'MEMÓRIA DE CÁLCULO'!C22</f>
        <v>1</v>
      </c>
      <c r="G15" s="116">
        <f>COMPOSIÇÕES!G16</f>
        <v>7003.14</v>
      </c>
      <c r="H15" s="92">
        <f>ROUND((G15*$K$12),2)</f>
        <v>9087.93</v>
      </c>
      <c r="I15" s="170">
        <f>ROUND(((F15*H15)),2)</f>
        <v>9087.93</v>
      </c>
      <c r="J15" s="171">
        <f>I15/$I$59</f>
        <v>4.2129046323718694E-2</v>
      </c>
      <c r="K15" s="162"/>
    </row>
    <row r="16" spans="1:17" ht="13.5" thickBot="1" x14ac:dyDescent="0.25">
      <c r="A16" s="177"/>
      <c r="B16" s="178"/>
      <c r="C16" s="178"/>
      <c r="D16" s="178"/>
      <c r="E16" s="178"/>
      <c r="F16" s="178"/>
      <c r="G16" s="178"/>
      <c r="H16" s="179" t="s">
        <v>168</v>
      </c>
      <c r="I16" s="14">
        <f>SUM(I15:I15)</f>
        <v>9087.93</v>
      </c>
      <c r="J16" s="171"/>
      <c r="K16" s="162"/>
    </row>
    <row r="17" spans="1:20" ht="18" customHeight="1" thickBot="1" x14ac:dyDescent="0.25">
      <c r="A17" s="120">
        <v>2</v>
      </c>
      <c r="B17" s="643"/>
      <c r="C17" s="644"/>
      <c r="D17" s="156" t="s">
        <v>156</v>
      </c>
      <c r="E17" s="157"/>
      <c r="F17" s="157"/>
      <c r="G17" s="157"/>
      <c r="H17" s="157"/>
      <c r="I17" s="158"/>
      <c r="J17" s="171">
        <f>I17/$I$59</f>
        <v>0</v>
      </c>
      <c r="K17" s="162"/>
      <c r="Q17" s="168"/>
    </row>
    <row r="18" spans="1:20" ht="17.25" customHeight="1" x14ac:dyDescent="0.2">
      <c r="A18" s="1" t="s">
        <v>160</v>
      </c>
      <c r="B18" s="1" t="s">
        <v>193</v>
      </c>
      <c r="C18" s="1" t="s">
        <v>174</v>
      </c>
      <c r="D18" s="2" t="s">
        <v>194</v>
      </c>
      <c r="E18" s="161" t="s">
        <v>0</v>
      </c>
      <c r="F18" s="169">
        <f>'MEMÓRIA DE CÁLCULO'!C30</f>
        <v>25</v>
      </c>
      <c r="G18" s="116">
        <v>4.9800000000000004</v>
      </c>
      <c r="H18" s="92">
        <f>ROUND((G18*$K$12),2)</f>
        <v>6.46</v>
      </c>
      <c r="I18" s="208">
        <f>ROUND(((F18*H18)),2)</f>
        <v>161.5</v>
      </c>
      <c r="J18" s="171">
        <f>I18/$I$59</f>
        <v>7.4866784639412596E-4</v>
      </c>
      <c r="K18" s="162"/>
    </row>
    <row r="19" spans="1:20" ht="17.25" customHeight="1" x14ac:dyDescent="0.2">
      <c r="A19" s="1" t="s">
        <v>172</v>
      </c>
      <c r="B19" s="1" t="s">
        <v>193</v>
      </c>
      <c r="C19" s="1" t="s">
        <v>312</v>
      </c>
      <c r="D19" s="2" t="s">
        <v>313</v>
      </c>
      <c r="E19" s="161" t="s">
        <v>0</v>
      </c>
      <c r="F19" s="169">
        <f>'MEMÓRIA DE CÁLCULO'!C37</f>
        <v>6</v>
      </c>
      <c r="G19" s="116">
        <v>191.45</v>
      </c>
      <c r="H19" s="92">
        <f>ROUND((G19*$K$12),2)</f>
        <v>248.44</v>
      </c>
      <c r="I19" s="33">
        <f>ROUND(((F19*H19)),2)</f>
        <v>1490.64</v>
      </c>
      <c r="J19" s="171">
        <f>I19/$I$59</f>
        <v>6.9101810436466874E-3</v>
      </c>
      <c r="K19" s="162"/>
    </row>
    <row r="20" spans="1:20" ht="17.25" customHeight="1" x14ac:dyDescent="0.2">
      <c r="A20" s="1" t="s">
        <v>173</v>
      </c>
      <c r="B20" s="1" t="s">
        <v>193</v>
      </c>
      <c r="C20" s="1" t="s">
        <v>195</v>
      </c>
      <c r="D20" s="2" t="s">
        <v>196</v>
      </c>
      <c r="E20" s="161" t="s">
        <v>0</v>
      </c>
      <c r="F20" s="169">
        <f>'MEMÓRIA DE CÁLCULO'!C47</f>
        <v>92</v>
      </c>
      <c r="G20" s="116">
        <v>150.16999999999999</v>
      </c>
      <c r="H20" s="92">
        <f>ROUND((G20*$K$12),2)</f>
        <v>194.87</v>
      </c>
      <c r="I20" s="33">
        <f>ROUND(((F20*H20)),2)</f>
        <v>17928.04</v>
      </c>
      <c r="J20" s="171">
        <f>I20/$I$59</f>
        <v>8.3109269949645487E-2</v>
      </c>
      <c r="K20" s="162"/>
    </row>
    <row r="21" spans="1:20" ht="17.25" customHeight="1" x14ac:dyDescent="0.2">
      <c r="A21" s="1" t="s">
        <v>314</v>
      </c>
      <c r="B21" s="1" t="s">
        <v>193</v>
      </c>
      <c r="C21" s="1" t="s">
        <v>197</v>
      </c>
      <c r="D21" s="2" t="s">
        <v>198</v>
      </c>
      <c r="E21" s="161" t="s">
        <v>0</v>
      </c>
      <c r="F21" s="169">
        <f>'MEMÓRIA DE CÁLCULO'!C54</f>
        <v>224</v>
      </c>
      <c r="G21" s="116">
        <v>5.83</v>
      </c>
      <c r="H21" s="92">
        <f>ROUND((G21*$K$12),2)</f>
        <v>7.57</v>
      </c>
      <c r="I21" s="33">
        <f>ROUND(((F21*H21)),2)</f>
        <v>1695.68</v>
      </c>
      <c r="J21" s="171">
        <f>I21/$I$59</f>
        <v>7.8606878871429822E-3</v>
      </c>
      <c r="K21" s="162"/>
    </row>
    <row r="22" spans="1:20" ht="13.35" customHeight="1" thickBot="1" x14ac:dyDescent="0.25">
      <c r="A22" s="177"/>
      <c r="B22" s="178"/>
      <c r="C22" s="178"/>
      <c r="D22" s="178"/>
      <c r="E22" s="178"/>
      <c r="F22" s="178"/>
      <c r="G22" s="178"/>
      <c r="H22" s="179" t="s">
        <v>167</v>
      </c>
      <c r="I22" s="14">
        <f>ROUND(SUM(I18:I21),2)</f>
        <v>21275.86</v>
      </c>
      <c r="J22" s="171"/>
      <c r="K22" s="162"/>
    </row>
    <row r="23" spans="1:20" ht="20.25" customHeight="1" thickBot="1" x14ac:dyDescent="0.25">
      <c r="A23" s="120">
        <v>3</v>
      </c>
      <c r="B23" s="643"/>
      <c r="C23" s="644"/>
      <c r="D23" s="673" t="s">
        <v>336</v>
      </c>
      <c r="E23" s="674"/>
      <c r="F23" s="674"/>
      <c r="G23" s="674"/>
      <c r="H23" s="674"/>
      <c r="I23" s="675"/>
      <c r="J23" s="171">
        <f t="shared" ref="J23:J31" si="0">I23/$I$59</f>
        <v>0</v>
      </c>
      <c r="K23" s="162"/>
    </row>
    <row r="24" spans="1:20" ht="16.5" customHeight="1" x14ac:dyDescent="0.2">
      <c r="A24" s="356" t="s">
        <v>161</v>
      </c>
      <c r="B24" s="181"/>
      <c r="C24" s="182"/>
      <c r="D24" s="183" t="s">
        <v>337</v>
      </c>
      <c r="E24" s="182"/>
      <c r="F24" s="184"/>
      <c r="G24" s="185"/>
      <c r="H24" s="186"/>
      <c r="I24" s="237"/>
      <c r="J24" s="171">
        <f t="shared" si="0"/>
        <v>0</v>
      </c>
      <c r="L24" s="222"/>
      <c r="M24" s="222"/>
      <c r="N24" s="222"/>
      <c r="O24" s="222"/>
      <c r="P24" s="222"/>
      <c r="Q24" s="222"/>
      <c r="R24" s="222"/>
      <c r="S24" s="222"/>
      <c r="T24" s="223"/>
    </row>
    <row r="25" spans="1:20" ht="24.6" customHeight="1" x14ac:dyDescent="0.2">
      <c r="A25" s="13" t="s">
        <v>209</v>
      </c>
      <c r="B25" s="13" t="s">
        <v>193</v>
      </c>
      <c r="C25" s="13" t="s">
        <v>199</v>
      </c>
      <c r="D25" s="207" t="s">
        <v>200</v>
      </c>
      <c r="E25" s="160" t="s">
        <v>177</v>
      </c>
      <c r="F25" s="174">
        <f>'MEMÓRIA DE CÁLCULO'!C63</f>
        <v>0.15</v>
      </c>
      <c r="G25" s="175">
        <v>903.2</v>
      </c>
      <c r="H25" s="176">
        <f>ROUND((G25*$K$12),2)</f>
        <v>1172.08</v>
      </c>
      <c r="I25" s="33">
        <f t="shared" ref="I25:I26" si="1">ROUND(((F25*H25)),2)</f>
        <v>175.81</v>
      </c>
      <c r="J25" s="171">
        <f t="shared" si="0"/>
        <v>8.1500491687028665E-4</v>
      </c>
      <c r="L25" s="222"/>
      <c r="M25" s="222"/>
      <c r="N25" s="222"/>
      <c r="O25" s="222"/>
      <c r="P25" s="222"/>
      <c r="Q25" s="222"/>
      <c r="R25" s="222"/>
      <c r="S25" s="222"/>
      <c r="T25" s="223"/>
    </row>
    <row r="26" spans="1:20" ht="32.450000000000003" customHeight="1" x14ac:dyDescent="0.2">
      <c r="A26" s="13" t="s">
        <v>210</v>
      </c>
      <c r="B26" s="13" t="s">
        <v>193</v>
      </c>
      <c r="C26" s="13" t="s">
        <v>201</v>
      </c>
      <c r="D26" s="209" t="s">
        <v>335</v>
      </c>
      <c r="E26" s="187" t="s">
        <v>177</v>
      </c>
      <c r="F26" s="188">
        <f>'MEMÓRIA DE CÁLCULO'!C71</f>
        <v>3.78</v>
      </c>
      <c r="G26" s="189">
        <v>3762.41</v>
      </c>
      <c r="H26" s="176">
        <f t="shared" ref="H26" si="2">ROUND((G26*$K$12),2)</f>
        <v>4882.46</v>
      </c>
      <c r="I26" s="33">
        <f t="shared" si="1"/>
        <v>18455.7</v>
      </c>
      <c r="J26" s="171">
        <f t="shared" si="0"/>
        <v>8.5555350914526748E-2</v>
      </c>
      <c r="L26" s="222"/>
      <c r="M26" s="222"/>
      <c r="N26" s="222"/>
      <c r="O26" s="222"/>
      <c r="P26" s="222"/>
      <c r="Q26" s="222"/>
      <c r="R26" s="222"/>
      <c r="S26" s="222"/>
      <c r="T26" s="223"/>
    </row>
    <row r="27" spans="1:20" ht="38.25" x14ac:dyDescent="0.2">
      <c r="A27" s="13" t="s">
        <v>381</v>
      </c>
      <c r="B27" s="13" t="s">
        <v>137</v>
      </c>
      <c r="C27" s="13" t="s">
        <v>382</v>
      </c>
      <c r="D27" s="209" t="s">
        <v>383</v>
      </c>
      <c r="E27" s="187" t="s">
        <v>177</v>
      </c>
      <c r="F27" s="188">
        <f>'MEMÓRIA DE CÁLCULO'!C78</f>
        <v>2.21</v>
      </c>
      <c r="G27" s="189">
        <v>952.93</v>
      </c>
      <c r="H27" s="176">
        <f t="shared" ref="H27" si="3">ROUND((G27*$K$12),2)</f>
        <v>1236.6099999999999</v>
      </c>
      <c r="I27" s="33">
        <f t="shared" ref="I27" si="4">ROUND(((F27*H27)),2)</f>
        <v>2732.91</v>
      </c>
      <c r="J27" s="171">
        <f t="shared" si="0"/>
        <v>1.2668989746680933E-2</v>
      </c>
      <c r="L27" s="222"/>
      <c r="M27" s="222"/>
      <c r="N27" s="222"/>
      <c r="O27" s="222"/>
      <c r="P27" s="222"/>
      <c r="Q27" s="222"/>
      <c r="R27" s="222"/>
      <c r="S27" s="222"/>
      <c r="T27" s="223"/>
    </row>
    <row r="28" spans="1:20" ht="15.75" customHeight="1" x14ac:dyDescent="0.2">
      <c r="A28" s="356" t="s">
        <v>162</v>
      </c>
      <c r="B28" s="190"/>
      <c r="C28" s="191"/>
      <c r="D28" s="192" t="s">
        <v>202</v>
      </c>
      <c r="E28" s="191"/>
      <c r="F28" s="193"/>
      <c r="G28" s="194"/>
      <c r="H28" s="195"/>
      <c r="I28" s="196"/>
      <c r="J28" s="171">
        <f t="shared" si="0"/>
        <v>0</v>
      </c>
      <c r="L28" s="222"/>
      <c r="M28" s="222"/>
      <c r="N28" s="222"/>
      <c r="O28" s="222"/>
      <c r="P28" s="222"/>
      <c r="Q28" s="222"/>
      <c r="R28" s="222"/>
      <c r="S28" s="222"/>
      <c r="T28" s="223"/>
    </row>
    <row r="29" spans="1:20" ht="22.9" customHeight="1" x14ac:dyDescent="0.2">
      <c r="A29" s="13" t="s">
        <v>211</v>
      </c>
      <c r="B29" s="13" t="s">
        <v>193</v>
      </c>
      <c r="C29" s="13" t="s">
        <v>203</v>
      </c>
      <c r="D29" s="207" t="s">
        <v>204</v>
      </c>
      <c r="E29" s="161" t="s">
        <v>205</v>
      </c>
      <c r="F29" s="174">
        <f>'MEMÓRIA DE CÁLCULO'!C89</f>
        <v>60</v>
      </c>
      <c r="G29" s="175">
        <v>12.99</v>
      </c>
      <c r="H29" s="176">
        <f>ROUND((G29*$K$12),2)</f>
        <v>16.86</v>
      </c>
      <c r="I29" s="33">
        <f>ROUND(((F29*H29)),2)</f>
        <v>1011.6</v>
      </c>
      <c r="J29" s="171">
        <f t="shared" si="0"/>
        <v>4.689488504100915E-3</v>
      </c>
      <c r="L29" s="222"/>
      <c r="M29" s="222"/>
      <c r="N29" s="222"/>
      <c r="O29" s="222"/>
      <c r="P29" s="222"/>
      <c r="Q29" s="222"/>
      <c r="R29" s="222"/>
      <c r="S29" s="222"/>
      <c r="T29" s="223"/>
    </row>
    <row r="30" spans="1:20" ht="24.6" customHeight="1" x14ac:dyDescent="0.2">
      <c r="A30" s="357" t="s">
        <v>290</v>
      </c>
      <c r="B30" s="190"/>
      <c r="C30" s="191"/>
      <c r="D30" s="192" t="s">
        <v>289</v>
      </c>
      <c r="E30" s="191"/>
      <c r="F30" s="193"/>
      <c r="G30" s="194"/>
      <c r="H30" s="195"/>
      <c r="I30" s="274"/>
      <c r="J30" s="171">
        <f t="shared" si="0"/>
        <v>0</v>
      </c>
      <c r="L30" s="222"/>
      <c r="M30" s="222"/>
      <c r="N30" s="222"/>
      <c r="O30" s="222"/>
      <c r="P30" s="222"/>
      <c r="Q30" s="222"/>
      <c r="R30" s="222"/>
      <c r="S30" s="222"/>
      <c r="T30" s="223"/>
    </row>
    <row r="31" spans="1:20" ht="31.15" customHeight="1" x14ac:dyDescent="0.2">
      <c r="A31" s="13" t="s">
        <v>291</v>
      </c>
      <c r="B31" s="13" t="s">
        <v>193</v>
      </c>
      <c r="C31" s="13" t="s">
        <v>201</v>
      </c>
      <c r="D31" s="209" t="s">
        <v>335</v>
      </c>
      <c r="E31" s="271" t="s">
        <v>293</v>
      </c>
      <c r="F31" s="188">
        <f>'MEMÓRIA DE CÁLCULO'!C101</f>
        <v>1.92</v>
      </c>
      <c r="G31" s="189">
        <v>3762.41</v>
      </c>
      <c r="H31" s="272">
        <f>ROUND((G31*$K$12),2)</f>
        <v>4882.46</v>
      </c>
      <c r="I31" s="273">
        <f>ROUND(((F31*H31)),2)</f>
        <v>9374.32</v>
      </c>
      <c r="J31" s="171">
        <f t="shared" si="0"/>
        <v>4.3456668518943545E-2</v>
      </c>
      <c r="L31" s="222"/>
      <c r="M31" s="222"/>
      <c r="N31" s="222"/>
      <c r="O31" s="222"/>
      <c r="P31" s="222"/>
      <c r="Q31" s="222"/>
      <c r="R31" s="222"/>
      <c r="S31" s="222"/>
      <c r="T31" s="223"/>
    </row>
    <row r="32" spans="1:20" ht="21.75" customHeight="1" thickBot="1" x14ac:dyDescent="0.25">
      <c r="A32" s="177"/>
      <c r="B32" s="178"/>
      <c r="C32" s="178"/>
      <c r="D32" s="178"/>
      <c r="E32" s="178"/>
      <c r="F32" s="178"/>
      <c r="G32" s="178"/>
      <c r="H32" s="179" t="s">
        <v>320</v>
      </c>
      <c r="I32" s="14">
        <f>ROUND(SUM(I25:I31),2)</f>
        <v>31750.34</v>
      </c>
      <c r="J32" s="171"/>
      <c r="L32" s="222"/>
      <c r="M32" s="222"/>
      <c r="N32" s="222"/>
      <c r="O32" s="222"/>
      <c r="P32" s="222"/>
      <c r="Q32" s="222"/>
      <c r="R32" s="222"/>
      <c r="S32" s="222"/>
      <c r="T32" s="223"/>
    </row>
    <row r="33" spans="1:11" ht="17.25" customHeight="1" thickBot="1" x14ac:dyDescent="0.25">
      <c r="A33" s="120">
        <v>4</v>
      </c>
      <c r="B33" s="643"/>
      <c r="C33" s="644"/>
      <c r="D33" s="156" t="s">
        <v>325</v>
      </c>
      <c r="E33" s="157"/>
      <c r="F33" s="157"/>
      <c r="G33" s="157"/>
      <c r="H33" s="157"/>
      <c r="I33" s="158"/>
      <c r="J33" s="171">
        <f>I33/$I$59</f>
        <v>0</v>
      </c>
      <c r="K33" s="162"/>
    </row>
    <row r="34" spans="1:11" ht="30" customHeight="1" x14ac:dyDescent="0.2">
      <c r="A34" s="1" t="s">
        <v>163</v>
      </c>
      <c r="B34" s="676" t="s">
        <v>230</v>
      </c>
      <c r="C34" s="677"/>
      <c r="D34" s="2" t="s">
        <v>332</v>
      </c>
      <c r="E34" s="161" t="s">
        <v>231</v>
      </c>
      <c r="F34" s="258">
        <f>'MEMÓRIA DE CÁLCULO'!C106</f>
        <v>1</v>
      </c>
      <c r="G34" s="116">
        <v>35600</v>
      </c>
      <c r="H34" s="92">
        <f>ROUND((G34*$K$12),2)</f>
        <v>46197.919999999998</v>
      </c>
      <c r="I34" s="208">
        <f>ROUND(((F34*H34)),2)</f>
        <v>46197.919999999998</v>
      </c>
      <c r="J34" s="171">
        <f>I34/$I$59</f>
        <v>0.21416035463955491</v>
      </c>
      <c r="K34" s="162"/>
    </row>
    <row r="35" spans="1:11" ht="51" x14ac:dyDescent="0.2">
      <c r="A35" s="1" t="s">
        <v>188</v>
      </c>
      <c r="B35" s="678" t="s">
        <v>230</v>
      </c>
      <c r="C35" s="678"/>
      <c r="D35" s="2" t="s">
        <v>354</v>
      </c>
      <c r="E35" s="161" t="s">
        <v>231</v>
      </c>
      <c r="F35" s="258">
        <f>'MEMÓRIA DE CÁLCULO'!C110</f>
        <v>1</v>
      </c>
      <c r="G35" s="116">
        <v>55000</v>
      </c>
      <c r="H35" s="92">
        <f>ROUND((G35*$L$12),2)</f>
        <v>63977.91</v>
      </c>
      <c r="I35" s="33">
        <f>ROUND(((F35*H35)),2)</f>
        <v>63977.91</v>
      </c>
      <c r="J35" s="171">
        <f>I35/$I$59</f>
        <v>0.29658330709905395</v>
      </c>
      <c r="K35" s="162"/>
    </row>
    <row r="36" spans="1:11" ht="25.5" customHeight="1" x14ac:dyDescent="0.2">
      <c r="A36" s="1" t="s">
        <v>164</v>
      </c>
      <c r="B36" s="678" t="str">
        <f>COMPOSIÇÕES!B88</f>
        <v>COMPOSIÇÃO 8</v>
      </c>
      <c r="C36" s="678"/>
      <c r="D36" s="221" t="str">
        <f>COMPOSIÇÕES!B89</f>
        <v>INSTALAÇÃO DE ESTATUA DE SAGRADO CORAÇÃO DE JESUS EM ESTRUTURA METÁLICA, INCLUINDO IÇAMENTO</v>
      </c>
      <c r="E36" s="161" t="s">
        <v>231</v>
      </c>
      <c r="F36" s="258">
        <f>'MEMÓRIA DE CÁLCULO'!C114</f>
        <v>1</v>
      </c>
      <c r="G36" s="116">
        <f>COMPOSIÇÕES!G96</f>
        <v>1998.68</v>
      </c>
      <c r="H36" s="92">
        <f t="shared" ref="H36:H37" si="5">ROUND((G36*$K$12),2)</f>
        <v>2593.6799999999998</v>
      </c>
      <c r="I36" s="33">
        <f>ROUND(((F36*H36)),2)</f>
        <v>2593.6799999999998</v>
      </c>
      <c r="J36" s="171">
        <f>I36/$I$59</f>
        <v>1.2023559255947471E-2</v>
      </c>
      <c r="K36" s="162"/>
    </row>
    <row r="37" spans="1:11" ht="41.25" customHeight="1" x14ac:dyDescent="0.2">
      <c r="A37" s="1" t="s">
        <v>165</v>
      </c>
      <c r="B37" s="678" t="str">
        <f>COMPOSIÇÕES!B98</f>
        <v>COMPOSIÇÃO 9</v>
      </c>
      <c r="C37" s="678"/>
      <c r="D37" s="221" t="str">
        <f>COMPOSIÇÕES!B99</f>
        <v>TRANSPORTE DE ESTATUA DO SAGRADO CORAÇÃO DE JESUS EM ESTRUTURA METÁLICA DE SANTA MARIA DO PARÁ PARA ULIANÓPOLIS/PA.</v>
      </c>
      <c r="E37" s="161" t="s">
        <v>231</v>
      </c>
      <c r="F37" s="258">
        <f>'MEMÓRIA DE CÁLCULO'!C118</f>
        <v>1</v>
      </c>
      <c r="G37" s="116">
        <f>COMPOSIÇÕES!G103</f>
        <v>6558.91</v>
      </c>
      <c r="H37" s="92">
        <f t="shared" si="5"/>
        <v>8511.4599999999991</v>
      </c>
      <c r="I37" s="33">
        <f>ROUND(((F37*H37)),2)</f>
        <v>8511.4599999999991</v>
      </c>
      <c r="J37" s="171">
        <f>I37/$I$59</f>
        <v>3.9456696147800285E-2</v>
      </c>
      <c r="K37" s="162"/>
    </row>
    <row r="38" spans="1:11" ht="17.25" customHeight="1" thickBot="1" x14ac:dyDescent="0.25">
      <c r="A38" s="177"/>
      <c r="B38" s="178"/>
      <c r="C38" s="178"/>
      <c r="D38" s="178"/>
      <c r="E38" s="178"/>
      <c r="F38" s="178"/>
      <c r="G38" s="178"/>
      <c r="H38" s="179" t="s">
        <v>166</v>
      </c>
      <c r="I38" s="14">
        <f>ROUND(SUM(I34:I37),2)</f>
        <v>121280.97</v>
      </c>
      <c r="J38" s="171"/>
      <c r="K38" s="162"/>
    </row>
    <row r="39" spans="1:11" ht="17.25" customHeight="1" thickBot="1" x14ac:dyDescent="0.25">
      <c r="A39" s="120">
        <v>5</v>
      </c>
      <c r="B39" s="643"/>
      <c r="C39" s="644"/>
      <c r="D39" s="156" t="s">
        <v>206</v>
      </c>
      <c r="E39" s="157"/>
      <c r="F39" s="157"/>
      <c r="G39" s="157"/>
      <c r="H39" s="157"/>
      <c r="I39" s="158"/>
      <c r="J39" s="171">
        <f t="shared" ref="J39:J44" si="6">I39/$I$59</f>
        <v>0</v>
      </c>
      <c r="K39" s="162"/>
    </row>
    <row r="40" spans="1:11" ht="17.25" customHeight="1" x14ac:dyDescent="0.2">
      <c r="A40" s="1" t="s">
        <v>214</v>
      </c>
      <c r="B40" s="1" t="s">
        <v>193</v>
      </c>
      <c r="C40" s="1" t="s">
        <v>212</v>
      </c>
      <c r="D40" s="2" t="s">
        <v>213</v>
      </c>
      <c r="E40" s="161" t="s">
        <v>218</v>
      </c>
      <c r="F40" s="259">
        <f>'MEMÓRIA DE CÁLCULO'!C123</f>
        <v>10</v>
      </c>
      <c r="G40" s="116">
        <v>261.72000000000003</v>
      </c>
      <c r="H40" s="92">
        <f t="shared" ref="H40" si="7">ROUND((G40*$K$12),2)</f>
        <v>339.63</v>
      </c>
      <c r="I40" s="33">
        <f t="shared" ref="I40:I43" si="8">ROUND(((F40*H40)),2)</f>
        <v>3396.3</v>
      </c>
      <c r="J40" s="171">
        <f t="shared" si="6"/>
        <v>1.5744276202528606E-2</v>
      </c>
      <c r="K40" s="162"/>
    </row>
    <row r="41" spans="1:11" ht="30" customHeight="1" x14ac:dyDescent="0.2">
      <c r="A41" s="1" t="s">
        <v>215</v>
      </c>
      <c r="B41" s="661" t="str">
        <f>COMPOSIÇÕES!B18</f>
        <v>COMPOSIÇÃO 2</v>
      </c>
      <c r="C41" s="662"/>
      <c r="D41" s="221" t="str">
        <f>COMPOSIÇÕES!B19</f>
        <v>FORNECIMENTO E INSTALAÇÃO DE REFLETOR DE LED RGB 100 W COM CAIXA DE CONCRETO , FECHADO COM GRADE DE FERRO E CADEADO.</v>
      </c>
      <c r="E41" s="161" t="s">
        <v>150</v>
      </c>
      <c r="F41" s="259">
        <f>'MEMÓRIA DE CÁLCULO'!C127</f>
        <v>2</v>
      </c>
      <c r="G41" s="116">
        <f>COMPOSIÇÕES!G36</f>
        <v>324.01</v>
      </c>
      <c r="H41" s="92">
        <f t="shared" ref="H41" si="9">ROUND((G41*$K$12),2)</f>
        <v>420.47</v>
      </c>
      <c r="I41" s="33">
        <f t="shared" ref="I41" si="10">ROUND(((F41*H41)),2)</f>
        <v>840.94</v>
      </c>
      <c r="J41" s="171">
        <f t="shared" si="6"/>
        <v>3.8983575154592962E-3</v>
      </c>
      <c r="K41" s="162"/>
    </row>
    <row r="42" spans="1:11" ht="30" customHeight="1" x14ac:dyDescent="0.2">
      <c r="A42" s="1" t="s">
        <v>216</v>
      </c>
      <c r="B42" s="661" t="str">
        <f>COMPOSIÇÕES!B38</f>
        <v>COMPOSIÇÃO 3</v>
      </c>
      <c r="C42" s="662"/>
      <c r="D42" s="221" t="str">
        <f>COMPOSIÇÕES!B39</f>
        <v>LUMINÁRIA ALUMINIO PERFIL LED, USO EXTERNO, IP-67 + FITA LED 10W/m, LUZ AMARELA,  COM FONTE - FORNECIMENTO E INSTALAÇÃO</v>
      </c>
      <c r="E42" s="161" t="s">
        <v>273</v>
      </c>
      <c r="F42" s="259">
        <f>'MEMÓRIA DE CÁLCULO'!C131</f>
        <v>13.999999999999998</v>
      </c>
      <c r="G42" s="116">
        <f>COMPOSIÇÕES!G44</f>
        <v>104.43</v>
      </c>
      <c r="H42" s="92">
        <f t="shared" ref="H42" si="11">ROUND((G42*$K$12),2)</f>
        <v>135.52000000000001</v>
      </c>
      <c r="I42" s="33">
        <f t="shared" ref="I42" si="12">ROUND(((F42*H42)),2)</f>
        <v>1897.28</v>
      </c>
      <c r="J42" s="171">
        <f t="shared" si="6"/>
        <v>8.7952478737253707E-3</v>
      </c>
      <c r="K42" s="162"/>
    </row>
    <row r="43" spans="1:11" ht="27.6" customHeight="1" x14ac:dyDescent="0.2">
      <c r="A43" s="1" t="s">
        <v>217</v>
      </c>
      <c r="B43" s="661" t="str">
        <f>COMPOSIÇÕES!B46</f>
        <v>COMPOSIÇÃO 4</v>
      </c>
      <c r="C43" s="662"/>
      <c r="D43" s="221" t="str">
        <f>COMPOSIÇÕES!B47</f>
        <v>FORNECIMENTO E INSTALAÇÃO DE REFLETOR DE LED 100 W, LUZ AMARELA, À PROVA D'ÁGUA, EMBUTIDO NO PISO.</v>
      </c>
      <c r="E43" s="161" t="s">
        <v>234</v>
      </c>
      <c r="F43" s="259">
        <f>'MEMÓRIA DE CÁLCULO'!C135</f>
        <v>3</v>
      </c>
      <c r="G43" s="116">
        <f>COMPOSIÇÕES!G57</f>
        <v>195.33</v>
      </c>
      <c r="H43" s="92">
        <f>ROUND((G43*$K$12),2)</f>
        <v>253.48</v>
      </c>
      <c r="I43" s="33">
        <f t="shared" si="8"/>
        <v>760.44</v>
      </c>
      <c r="J43" s="171">
        <f t="shared" si="6"/>
        <v>3.5251825208170227E-3</v>
      </c>
      <c r="K43" s="162"/>
    </row>
    <row r="44" spans="1:11" ht="27.6" customHeight="1" x14ac:dyDescent="0.2">
      <c r="A44" s="1" t="s">
        <v>250</v>
      </c>
      <c r="B44" s="661" t="str">
        <f>COMPOSIÇÕES!B59</f>
        <v>COMPOSIÇÃO 5</v>
      </c>
      <c r="C44" s="662"/>
      <c r="D44" s="221" t="str">
        <f>COMPOSIÇÕES!B60</f>
        <v>FORNECIMENTO E INSTALAÇÃO DE LUMINÁRIA SPOT LED BALIZADOR PARA PISO, LUZ AMARELA 5W, À PROVA D'ÁGUA, EMBUTIDO NO PISO.</v>
      </c>
      <c r="E44" s="161" t="s">
        <v>234</v>
      </c>
      <c r="F44" s="259">
        <f>'MEMÓRIA DE CÁLCULO'!C139</f>
        <v>4</v>
      </c>
      <c r="G44" s="116">
        <f>COMPOSIÇÕES!G70</f>
        <v>147.38</v>
      </c>
      <c r="H44" s="92">
        <f>ROUND((G44*$K$12),2)</f>
        <v>191.25</v>
      </c>
      <c r="I44" s="33">
        <f t="shared" ref="I44" si="13">ROUND(((F44*H44)),2)</f>
        <v>765</v>
      </c>
      <c r="J44" s="171">
        <f t="shared" si="6"/>
        <v>3.546321377656386E-3</v>
      </c>
      <c r="K44" s="162"/>
    </row>
    <row r="45" spans="1:11" ht="17.25" customHeight="1" thickBot="1" x14ac:dyDescent="0.25">
      <c r="A45" s="177"/>
      <c r="B45" s="178"/>
      <c r="C45" s="178"/>
      <c r="D45" s="178"/>
      <c r="E45" s="178"/>
      <c r="F45" s="178"/>
      <c r="G45" s="178"/>
      <c r="H45" s="179" t="s">
        <v>321</v>
      </c>
      <c r="I45" s="14">
        <f>ROUND(SUM(I40:I44),2)</f>
        <v>7659.96</v>
      </c>
      <c r="J45" s="171"/>
      <c r="K45" s="162"/>
    </row>
    <row r="46" spans="1:11" ht="17.25" customHeight="1" thickBot="1" x14ac:dyDescent="0.25">
      <c r="A46" s="120">
        <v>6</v>
      </c>
      <c r="B46" s="643"/>
      <c r="C46" s="644"/>
      <c r="D46" s="156" t="s">
        <v>207</v>
      </c>
      <c r="E46" s="157"/>
      <c r="F46" s="157"/>
      <c r="G46" s="157"/>
      <c r="H46" s="157"/>
      <c r="I46" s="158"/>
      <c r="J46" s="171">
        <f>I46/$I$59</f>
        <v>0</v>
      </c>
      <c r="K46" s="162"/>
    </row>
    <row r="47" spans="1:11" ht="28.15" customHeight="1" x14ac:dyDescent="0.2">
      <c r="A47" s="1" t="s">
        <v>1</v>
      </c>
      <c r="B47" s="1" t="s">
        <v>137</v>
      </c>
      <c r="C47" s="1" t="s">
        <v>219</v>
      </c>
      <c r="D47" s="2" t="s">
        <v>220</v>
      </c>
      <c r="E47" s="161" t="s">
        <v>0</v>
      </c>
      <c r="F47" s="258">
        <f>'MEMÓRIA DE CÁLCULO'!C150</f>
        <v>16.98</v>
      </c>
      <c r="G47" s="116">
        <v>3.73</v>
      </c>
      <c r="H47" s="92">
        <f t="shared" ref="H47:H50" si="14">ROUND((G47*$K$12),2)</f>
        <v>4.84</v>
      </c>
      <c r="I47" s="208">
        <f t="shared" ref="I47:I50" si="15">ROUND(((F47*H47)),2)</f>
        <v>82.18</v>
      </c>
      <c r="J47" s="171">
        <f>I47/$I$59</f>
        <v>3.8096299453045993E-4</v>
      </c>
      <c r="K47" s="162"/>
    </row>
    <row r="48" spans="1:11" ht="28.15" customHeight="1" x14ac:dyDescent="0.2">
      <c r="A48" s="1" t="s">
        <v>2</v>
      </c>
      <c r="B48" s="1" t="s">
        <v>137</v>
      </c>
      <c r="C48" s="1" t="s">
        <v>221</v>
      </c>
      <c r="D48" s="2" t="s">
        <v>222</v>
      </c>
      <c r="E48" s="161" t="s">
        <v>0</v>
      </c>
      <c r="F48" s="258">
        <f>'MEMÓRIA DE CÁLCULO'!C150</f>
        <v>16.98</v>
      </c>
      <c r="G48" s="116">
        <v>26.92</v>
      </c>
      <c r="H48" s="92">
        <f t="shared" si="14"/>
        <v>34.93</v>
      </c>
      <c r="I48" s="33">
        <f t="shared" si="15"/>
        <v>593.11</v>
      </c>
      <c r="J48" s="171">
        <f>I48/$I$59</f>
        <v>2.7494884605252018E-3</v>
      </c>
      <c r="K48" s="162"/>
    </row>
    <row r="49" spans="1:17" ht="46.9" customHeight="1" x14ac:dyDescent="0.2">
      <c r="A49" s="1" t="s">
        <v>3</v>
      </c>
      <c r="B49" s="1" t="s">
        <v>137</v>
      </c>
      <c r="C49" s="1" t="s">
        <v>243</v>
      </c>
      <c r="D49" s="207" t="s">
        <v>244</v>
      </c>
      <c r="E49" s="161" t="s">
        <v>0</v>
      </c>
      <c r="F49" s="258">
        <f>'MEMÓRIA DE CÁLCULO'!C158</f>
        <v>48.72</v>
      </c>
      <c r="G49" s="116">
        <v>24.23</v>
      </c>
      <c r="H49" s="92">
        <f t="shared" si="14"/>
        <v>31.44</v>
      </c>
      <c r="I49" s="33">
        <f t="shared" si="15"/>
        <v>1531.76</v>
      </c>
      <c r="J49" s="171">
        <f>I49/$I$59</f>
        <v>7.100801612338491E-3</v>
      </c>
      <c r="K49" s="162"/>
    </row>
    <row r="50" spans="1:17" ht="44.45" customHeight="1" x14ac:dyDescent="0.2">
      <c r="A50" s="1" t="s">
        <v>49</v>
      </c>
      <c r="B50" s="1" t="s">
        <v>137</v>
      </c>
      <c r="C50" s="1" t="s">
        <v>246</v>
      </c>
      <c r="D50" s="211" t="s">
        <v>247</v>
      </c>
      <c r="E50" s="161" t="s">
        <v>0</v>
      </c>
      <c r="F50" s="258">
        <f>'MEMÓRIA DE CÁLCULO'!C162</f>
        <v>48.72</v>
      </c>
      <c r="G50" s="116">
        <v>47.67</v>
      </c>
      <c r="H50" s="92">
        <f t="shared" si="14"/>
        <v>61.86</v>
      </c>
      <c r="I50" s="33">
        <f t="shared" si="15"/>
        <v>3013.82</v>
      </c>
      <c r="J50" s="171">
        <f>I50/$I$59</f>
        <v>1.3971208227984798E-2</v>
      </c>
      <c r="K50" s="162"/>
    </row>
    <row r="51" spans="1:17" ht="17.25" customHeight="1" thickBot="1" x14ac:dyDescent="0.25">
      <c r="A51" s="177"/>
      <c r="B51" s="178"/>
      <c r="C51" s="178"/>
      <c r="D51" s="178"/>
      <c r="E51" s="178"/>
      <c r="F51" s="178"/>
      <c r="G51" s="178"/>
      <c r="H51" s="179" t="s">
        <v>322</v>
      </c>
      <c r="I51" s="14">
        <f>ROUND(SUM(I47:I50),2)</f>
        <v>5220.87</v>
      </c>
      <c r="J51" s="171"/>
      <c r="K51" s="162"/>
    </row>
    <row r="52" spans="1:17" ht="17.25" customHeight="1" thickBot="1" x14ac:dyDescent="0.25">
      <c r="A52" s="120">
        <v>7</v>
      </c>
      <c r="B52" s="643"/>
      <c r="C52" s="644"/>
      <c r="D52" s="156" t="s">
        <v>307</v>
      </c>
      <c r="E52" s="157"/>
      <c r="F52" s="157"/>
      <c r="G52" s="157"/>
      <c r="H52" s="157"/>
      <c r="I52" s="158"/>
      <c r="J52" s="171">
        <f>I52/$I$59</f>
        <v>0</v>
      </c>
      <c r="K52" s="162"/>
    </row>
    <row r="53" spans="1:17" ht="24.6" customHeight="1" x14ac:dyDescent="0.2">
      <c r="A53" s="1" t="s">
        <v>288</v>
      </c>
      <c r="B53" s="679" t="str">
        <f>COMPOSIÇÕES!B72</f>
        <v>COMPOSIÇÃO 6</v>
      </c>
      <c r="C53" s="680"/>
      <c r="D53" s="277" t="str">
        <f>COMPOSIÇÕES!B73</f>
        <v>PLANTIO DE MUDA DE DIANELA - FORNECIMENTO E INSTALAÇÃO</v>
      </c>
      <c r="E53" s="161" t="s">
        <v>234</v>
      </c>
      <c r="F53" s="159">
        <f>'MEMÓRIA DE CÁLCULO'!C177</f>
        <v>496</v>
      </c>
      <c r="G53" s="116">
        <f>COMPOSIÇÕES!G78</f>
        <v>25.37</v>
      </c>
      <c r="H53" s="176">
        <f>ROUND((G53*$K$12),2)</f>
        <v>32.92</v>
      </c>
      <c r="I53" s="33">
        <f>ROUND(((F53*H53)),2)</f>
        <v>16328.32</v>
      </c>
      <c r="J53" s="171">
        <f>I53/$I$59</f>
        <v>7.5693425198972972E-2</v>
      </c>
      <c r="K53" s="162"/>
    </row>
    <row r="54" spans="1:17" ht="27" customHeight="1" x14ac:dyDescent="0.2">
      <c r="A54" s="1" t="s">
        <v>298</v>
      </c>
      <c r="B54" s="683" t="str">
        <f>COMPOSIÇÕES!B80</f>
        <v>COMPOSIÇÃO 7</v>
      </c>
      <c r="C54" s="684"/>
      <c r="D54" s="276" t="str">
        <f>COMPOSIÇÕES!B81</f>
        <v>LIMITADOR DE GRAMA - FORNECIMENTO E INSTALAÇÃO</v>
      </c>
      <c r="E54" s="160" t="s">
        <v>273</v>
      </c>
      <c r="F54" s="278">
        <f>'MEMÓRIA DE CÁLCULO'!C181</f>
        <v>49.6</v>
      </c>
      <c r="G54" s="116">
        <f>COMPOSIÇÕES!G86</f>
        <v>12.37</v>
      </c>
      <c r="H54" s="176">
        <f>ROUND((G54*$K$12),2)</f>
        <v>16.05</v>
      </c>
      <c r="I54" s="33">
        <f>ROUND(((F54*H54)),2)</f>
        <v>796.08</v>
      </c>
      <c r="J54" s="171">
        <f>I54/$I$59</f>
        <v>3.6903993755878378E-3</v>
      </c>
      <c r="K54" s="162"/>
    </row>
    <row r="55" spans="1:17" ht="19.149999999999999" customHeight="1" thickBot="1" x14ac:dyDescent="0.25">
      <c r="A55" s="1"/>
      <c r="B55" s="681"/>
      <c r="C55" s="682"/>
      <c r="D55" s="275"/>
      <c r="E55" s="178"/>
      <c r="F55" s="178"/>
      <c r="G55" s="178"/>
      <c r="H55" s="179" t="s">
        <v>323</v>
      </c>
      <c r="I55" s="14">
        <f>ROUND(SUM(I53:I54),2)</f>
        <v>17124.400000000001</v>
      </c>
      <c r="J55" s="171"/>
      <c r="K55" s="162"/>
    </row>
    <row r="56" spans="1:17" ht="18" customHeight="1" thickBot="1" x14ac:dyDescent="0.25">
      <c r="A56" s="120">
        <v>8</v>
      </c>
      <c r="B56" s="643"/>
      <c r="C56" s="644"/>
      <c r="D56" s="156" t="s">
        <v>208</v>
      </c>
      <c r="E56" s="157"/>
      <c r="F56" s="157"/>
      <c r="G56" s="157"/>
      <c r="H56" s="157"/>
      <c r="I56" s="158"/>
      <c r="J56" s="171">
        <f>I56/$I$59</f>
        <v>0</v>
      </c>
      <c r="K56" s="162"/>
      <c r="Q56" s="168"/>
    </row>
    <row r="57" spans="1:17" ht="18.75" customHeight="1" x14ac:dyDescent="0.2">
      <c r="A57" s="1" t="s">
        <v>297</v>
      </c>
      <c r="B57" s="160" t="s">
        <v>193</v>
      </c>
      <c r="C57" s="160" t="s">
        <v>223</v>
      </c>
      <c r="D57" s="224" t="s">
        <v>224</v>
      </c>
      <c r="E57" s="161" t="s">
        <v>0</v>
      </c>
      <c r="F57" s="159">
        <f>'MEMÓRIA DE CÁLCULO'!C189</f>
        <v>224</v>
      </c>
      <c r="G57" s="116">
        <v>7.97</v>
      </c>
      <c r="H57" s="176">
        <f>ROUND((G57*$K$12),2)</f>
        <v>10.34</v>
      </c>
      <c r="I57" s="33">
        <f>ROUND(((F57*H57)),2)</f>
        <v>2316.16</v>
      </c>
      <c r="J57" s="171">
        <f>I57/$I$59</f>
        <v>1.0737055845846555E-2</v>
      </c>
      <c r="K57" s="162"/>
      <c r="Q57" s="168"/>
    </row>
    <row r="58" spans="1:17" ht="15" customHeight="1" thickBot="1" x14ac:dyDescent="0.25">
      <c r="A58" s="177"/>
      <c r="B58" s="178"/>
      <c r="C58" s="178"/>
      <c r="D58" s="178"/>
      <c r="E58" s="178"/>
      <c r="F58" s="178"/>
      <c r="G58" s="178"/>
      <c r="H58" s="179" t="s">
        <v>324</v>
      </c>
      <c r="I58" s="14">
        <f>ROUND(SUM(I57:I57),2)</f>
        <v>2316.16</v>
      </c>
      <c r="J58" s="171">
        <f>I58/$I$59</f>
        <v>1.0737055845846555E-2</v>
      </c>
      <c r="K58" s="162"/>
    </row>
    <row r="59" spans="1:17" ht="20.25" customHeight="1" thickBot="1" x14ac:dyDescent="0.25">
      <c r="A59" s="666" t="s">
        <v>10</v>
      </c>
      <c r="B59" s="667"/>
      <c r="C59" s="667"/>
      <c r="D59" s="667"/>
      <c r="E59" s="667"/>
      <c r="F59" s="667"/>
      <c r="G59" s="667"/>
      <c r="H59" s="668"/>
      <c r="I59" s="15">
        <f>ROUND(I16+I22+I32+I38+I45+I51+I55+I58,2)</f>
        <v>215716.49</v>
      </c>
      <c r="J59" s="171"/>
      <c r="L59" s="167"/>
    </row>
    <row r="60" spans="1:17" x14ac:dyDescent="0.2">
      <c r="L60" s="167"/>
      <c r="M60" s="172"/>
    </row>
    <row r="61" spans="1:17" ht="21.75" customHeight="1" x14ac:dyDescent="0.2">
      <c r="A61" s="659" t="s">
        <v>175</v>
      </c>
      <c r="B61" s="659"/>
      <c r="C61" s="659"/>
      <c r="D61" s="659"/>
      <c r="E61" s="659"/>
      <c r="F61" s="659"/>
      <c r="G61" s="659"/>
      <c r="H61" s="659"/>
      <c r="I61" s="659"/>
      <c r="J61" s="167"/>
      <c r="K61" s="172"/>
    </row>
    <row r="62" spans="1:17" ht="32.25" customHeight="1" x14ac:dyDescent="0.2">
      <c r="A62" s="660" t="s">
        <v>176</v>
      </c>
      <c r="B62" s="660"/>
      <c r="C62" s="660"/>
      <c r="D62" s="660"/>
      <c r="E62" s="660"/>
      <c r="F62" s="660"/>
      <c r="G62" s="660"/>
      <c r="H62" s="660"/>
      <c r="I62" s="660"/>
      <c r="J62" s="225"/>
    </row>
    <row r="63" spans="1:17" ht="35.25" customHeight="1" x14ac:dyDescent="0.2">
      <c r="A63" s="660" t="s">
        <v>179</v>
      </c>
      <c r="B63" s="660"/>
      <c r="C63" s="660"/>
      <c r="D63" s="660"/>
      <c r="E63" s="660"/>
      <c r="F63" s="660"/>
      <c r="G63" s="660"/>
      <c r="H63" s="660"/>
      <c r="I63" s="660"/>
    </row>
  </sheetData>
  <mergeCells count="47">
    <mergeCell ref="G7:I7"/>
    <mergeCell ref="E7:F7"/>
    <mergeCell ref="G8:I8"/>
    <mergeCell ref="A63:I63"/>
    <mergeCell ref="B15:C15"/>
    <mergeCell ref="D23:I23"/>
    <mergeCell ref="B46:C46"/>
    <mergeCell ref="B33:C33"/>
    <mergeCell ref="B34:C34"/>
    <mergeCell ref="B35:C35"/>
    <mergeCell ref="B36:C36"/>
    <mergeCell ref="B37:C37"/>
    <mergeCell ref="B53:C53"/>
    <mergeCell ref="B55:C55"/>
    <mergeCell ref="B54:C54"/>
    <mergeCell ref="A5:A6"/>
    <mergeCell ref="B5:D6"/>
    <mergeCell ref="A61:I61"/>
    <mergeCell ref="A62:I62"/>
    <mergeCell ref="A7:A8"/>
    <mergeCell ref="B39:C39"/>
    <mergeCell ref="B41:C41"/>
    <mergeCell ref="B44:C44"/>
    <mergeCell ref="B42:C42"/>
    <mergeCell ref="B43:C43"/>
    <mergeCell ref="A10:J10"/>
    <mergeCell ref="A59:H59"/>
    <mergeCell ref="B56:C56"/>
    <mergeCell ref="B23:C23"/>
    <mergeCell ref="B17:C17"/>
    <mergeCell ref="B52:C52"/>
    <mergeCell ref="B1:H1"/>
    <mergeCell ref="B14:C14"/>
    <mergeCell ref="G2:I2"/>
    <mergeCell ref="G3:I3"/>
    <mergeCell ref="B7:D8"/>
    <mergeCell ref="E2:F2"/>
    <mergeCell ref="B2:D2"/>
    <mergeCell ref="B3:D3"/>
    <mergeCell ref="B4:D4"/>
    <mergeCell ref="E8:F8"/>
    <mergeCell ref="E3:F4"/>
    <mergeCell ref="G4:I4"/>
    <mergeCell ref="G5:I5"/>
    <mergeCell ref="E5:F5"/>
    <mergeCell ref="E6:F6"/>
    <mergeCell ref="G6:I6"/>
  </mergeCells>
  <phoneticPr fontId="5" type="noConversion"/>
  <conditionalFormatting sqref="E30 F38:H46 G47:H50 F53:G54">
    <cfRule type="cellIs" dxfId="24" priority="16" stopIfTrue="1" operator="equal">
      <formula>0</formula>
    </cfRule>
  </conditionalFormatting>
  <conditionalFormatting sqref="F57:G57">
    <cfRule type="cellIs" dxfId="23" priority="194" stopIfTrue="1" operator="equal">
      <formula>0</formula>
    </cfRule>
  </conditionalFormatting>
  <conditionalFormatting sqref="F12:H12">
    <cfRule type="cellIs" dxfId="22" priority="303" stopIfTrue="1" operator="equal">
      <formula>0</formula>
    </cfRule>
  </conditionalFormatting>
  <conditionalFormatting sqref="F16:H22 E24:E28">
    <cfRule type="cellIs" dxfId="21" priority="33" stopIfTrue="1" operator="equal">
      <formula>0</formula>
    </cfRule>
  </conditionalFormatting>
  <conditionalFormatting sqref="F32:H33">
    <cfRule type="cellIs" dxfId="20" priority="27" stopIfTrue="1" operator="equal">
      <formula>0</formula>
    </cfRule>
  </conditionalFormatting>
  <conditionalFormatting sqref="F51:H52">
    <cfRule type="cellIs" dxfId="19" priority="25" stopIfTrue="1" operator="equal">
      <formula>0</formula>
    </cfRule>
  </conditionalFormatting>
  <conditionalFormatting sqref="F55:H56">
    <cfRule type="cellIs" dxfId="18" priority="10" stopIfTrue="1" operator="equal">
      <formula>0</formula>
    </cfRule>
  </conditionalFormatting>
  <conditionalFormatting sqref="F58:H58">
    <cfRule type="cellIs" dxfId="17" priority="234" stopIfTrue="1" operator="equal">
      <formula>0</formula>
    </cfRule>
  </conditionalFormatting>
  <conditionalFormatting sqref="G24">
    <cfRule type="expression" dxfId="16" priority="256">
      <formula>AND(#REF!="",#REF!="",$D24=2)</formula>
    </cfRule>
    <cfRule type="expression" dxfId="15" priority="257">
      <formula>AND(#REF!="",#REF!="",$D24=5)</formula>
    </cfRule>
    <cfRule type="expression" dxfId="14" priority="258">
      <formula>AND(#REF!="",#REF!="",$D24=8)</formula>
    </cfRule>
    <cfRule type="expression" dxfId="13" priority="259">
      <formula>AND(#REF!="",#REF!="",$D24=11)</formula>
    </cfRule>
  </conditionalFormatting>
  <conditionalFormatting sqref="G25:G27">
    <cfRule type="expression" dxfId="12" priority="267">
      <formula>AND(#REF!="",#REF!="",$D25=2)</formula>
    </cfRule>
    <cfRule type="expression" dxfId="11" priority="268">
      <formula>AND(#REF!="",#REF!="",$D25=5)</formula>
    </cfRule>
    <cfRule type="expression" dxfId="10" priority="269">
      <formula>AND(#REF!="",#REF!="",$D25=8)</formula>
    </cfRule>
    <cfRule type="expression" dxfId="9" priority="270">
      <formula>AND(#REF!="",#REF!="",$D25=11)</formula>
    </cfRule>
  </conditionalFormatting>
  <conditionalFormatting sqref="G28:G30">
    <cfRule type="expression" dxfId="8" priority="5">
      <formula>AND(#REF!="",#REF!="",$D28=2)</formula>
    </cfRule>
    <cfRule type="expression" dxfId="7" priority="6">
      <formula>AND(#REF!="",#REF!="",$D28=5)</formula>
    </cfRule>
    <cfRule type="expression" dxfId="6" priority="7">
      <formula>AND(#REF!="",#REF!="",$D28=8)</formula>
    </cfRule>
    <cfRule type="expression" dxfId="5" priority="8">
      <formula>AND(#REF!="",#REF!="",$D28=11)</formula>
    </cfRule>
  </conditionalFormatting>
  <conditionalFormatting sqref="G34:H37">
    <cfRule type="cellIs" dxfId="4" priority="28" stopIfTrue="1" operator="equal">
      <formula>0</formula>
    </cfRule>
  </conditionalFormatting>
  <conditionalFormatting sqref="G31">
    <cfRule type="expression" dxfId="3" priority="1">
      <formula>AND(#REF!="",#REF!="",$D31=2)</formula>
    </cfRule>
    <cfRule type="expression" dxfId="2" priority="2">
      <formula>AND(#REF!="",#REF!="",$D31=5)</formula>
    </cfRule>
    <cfRule type="expression" dxfId="1" priority="3">
      <formula>AND(#REF!="",#REF!="",$D31=8)</formula>
    </cfRule>
    <cfRule type="expression" dxfId="0" priority="4">
      <formula>AND(#REF!="",#REF!="",$D31=11)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 alignWithMargins="0">
    <oddFooter>&amp;C&amp;G</oddFooter>
  </headerFooter>
  <rowBreaks count="1" manualBreakCount="1">
    <brk id="51" max="8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9"/>
  <sheetViews>
    <sheetView view="pageBreakPreview" zoomScale="98" zoomScaleNormal="100" zoomScaleSheetLayoutView="98" workbookViewId="0">
      <selection activeCell="A24" sqref="A24:H24"/>
    </sheetView>
  </sheetViews>
  <sheetFormatPr defaultColWidth="8.85546875" defaultRowHeight="12.75" x14ac:dyDescent="0.2"/>
  <cols>
    <col min="1" max="1" width="8.85546875" style="164"/>
    <col min="2" max="2" width="13.5703125" style="4" customWidth="1"/>
    <col min="3" max="3" width="13.28515625" style="4" customWidth="1"/>
    <col min="4" max="4" width="10" style="4" customWidth="1"/>
    <col min="5" max="5" width="19" style="4" customWidth="1"/>
    <col min="6" max="6" width="14.5703125" style="4" customWidth="1"/>
    <col min="7" max="7" width="19.42578125" style="4" customWidth="1"/>
    <col min="8" max="10" width="12.7109375" style="4" customWidth="1"/>
    <col min="11" max="11" width="14" style="4" bestFit="1" customWidth="1"/>
    <col min="12" max="12" width="8.85546875" style="4"/>
    <col min="13" max="13" width="13.140625" style="4" bestFit="1" customWidth="1"/>
    <col min="14" max="16384" width="8.85546875" style="4"/>
  </cols>
  <sheetData>
    <row r="1" spans="1:10" ht="69.95" customHeight="1" x14ac:dyDescent="0.2">
      <c r="A1" s="520" t="str">
        <f>ORÇAMENTO!$B$1</f>
        <v>ESTADO DO PARÁ
PREFEITURA MUNICIPAL DE ULIANÓPOLIS
CNPJ: 83.334.672/0001-60</v>
      </c>
      <c r="B1" s="520"/>
      <c r="C1" s="520"/>
      <c r="D1" s="520"/>
      <c r="E1" s="520"/>
      <c r="F1" s="520"/>
      <c r="G1" s="520"/>
      <c r="H1" s="520"/>
      <c r="I1" s="520"/>
      <c r="J1" s="108"/>
    </row>
    <row r="2" spans="1:10" ht="19.899999999999999" customHeight="1" x14ac:dyDescent="0.2">
      <c r="A2" s="705" t="str">
        <f>ORÇAMENTO!A2</f>
        <v>Proponente:</v>
      </c>
      <c r="B2" s="705"/>
      <c r="C2" s="698" t="str">
        <f>ORÇAMENTO!B2</f>
        <v>PREFEITURA MUNICÍPAL DE ULIANÓPOLIS</v>
      </c>
      <c r="D2" s="698"/>
      <c r="E2" s="698"/>
      <c r="F2" s="698"/>
      <c r="G2" s="245" t="str">
        <f>ORÇAMENTO!E2</f>
        <v>Município/UF:</v>
      </c>
      <c r="H2" s="697" t="str">
        <f>ORÇAMENTO!G2</f>
        <v>ULIANÓPOLIS/PA</v>
      </c>
      <c r="I2" s="697"/>
      <c r="J2" s="697"/>
    </row>
    <row r="3" spans="1:10" ht="30" customHeight="1" x14ac:dyDescent="0.2">
      <c r="A3" s="705" t="str">
        <f>ORÇAMENTO!A3</f>
        <v>Objeto:</v>
      </c>
      <c r="B3" s="705"/>
      <c r="C3" s="698" t="str">
        <f>ORÇAMENTO!B3</f>
        <v>CONSTRUÇÃO DO MONUMENTO SAGRADO CORAÇÃO DE JESUS NO MUNICÍPIO DE ULIANÓPOLIS/PA</v>
      </c>
      <c r="D3" s="698"/>
      <c r="E3" s="698"/>
      <c r="F3" s="698"/>
      <c r="G3" s="396" t="str">
        <f>ORÇAMENTO!E3</f>
        <v>Data Base:</v>
      </c>
      <c r="H3" s="698" t="str">
        <f>ORÇAMENTO!G3</f>
        <v>SINAPI ABRIL 2024 - DESONERADA</v>
      </c>
      <c r="I3" s="698"/>
      <c r="J3" s="698"/>
    </row>
    <row r="4" spans="1:10" ht="19.899999999999999" customHeight="1" x14ac:dyDescent="0.2">
      <c r="A4" s="705" t="str">
        <f>ORÇAMENTO!A4</f>
        <v>Local:</v>
      </c>
      <c r="B4" s="705"/>
      <c r="C4" s="698" t="str">
        <f>ORÇAMENTO!B4</f>
        <v>ULINANÓPOLIS/PA</v>
      </c>
      <c r="D4" s="698"/>
      <c r="E4" s="698"/>
      <c r="F4" s="698"/>
      <c r="G4" s="396"/>
      <c r="H4" s="698" t="str">
        <f>ORÇAMENTO!G4</f>
        <v>SEOP ABRIL 2024 - DESONERADA</v>
      </c>
      <c r="I4" s="698"/>
      <c r="J4" s="698"/>
    </row>
    <row r="5" spans="1:10" ht="19.899999999999999" customHeight="1" x14ac:dyDescent="0.2">
      <c r="A5" s="706" t="str">
        <f>ORÇAMENTO!A5</f>
        <v xml:space="preserve">Valor: </v>
      </c>
      <c r="B5" s="706"/>
      <c r="C5" s="708">
        <f>ORÇAMENTO!B5</f>
        <v>215716.49</v>
      </c>
      <c r="D5" s="699"/>
      <c r="E5" s="699"/>
      <c r="F5" s="699"/>
      <c r="G5" s="173" t="str">
        <f>ORÇAMENTO!E5</f>
        <v>BDI Serviços:</v>
      </c>
      <c r="H5" s="699">
        <f>ORÇAMENTO!G5</f>
        <v>0.29769428939090381</v>
      </c>
      <c r="I5" s="699"/>
      <c r="J5" s="699"/>
    </row>
    <row r="6" spans="1:10" ht="19.899999999999999" customHeight="1" x14ac:dyDescent="0.2">
      <c r="A6" s="705" t="str">
        <f>ORÇAMENTO!A7</f>
        <v xml:space="preserve">Responsável Técnico:    </v>
      </c>
      <c r="B6" s="705"/>
      <c r="C6" s="696" t="str">
        <f>ORÇAMENTO!B7</f>
        <v>Maruza Baptista</v>
      </c>
      <c r="D6" s="696"/>
      <c r="E6" s="696"/>
      <c r="F6" s="696"/>
      <c r="G6" s="173" t="str">
        <f>ORÇAMENTO!E7</f>
        <v>Data:</v>
      </c>
      <c r="H6" s="701">
        <f ca="1">ORÇAMENTO!G7</f>
        <v>45556</v>
      </c>
      <c r="I6" s="701"/>
      <c r="J6" s="701"/>
    </row>
    <row r="7" spans="1:10" ht="27.6" customHeight="1" x14ac:dyDescent="0.2">
      <c r="A7" s="705"/>
      <c r="B7" s="705"/>
      <c r="C7" s="696"/>
      <c r="D7" s="696"/>
      <c r="E7" s="696"/>
      <c r="F7" s="696"/>
      <c r="G7" s="238" t="str">
        <f>ORÇAMENTO!E8</f>
        <v xml:space="preserve">Registro Profissional:  </v>
      </c>
      <c r="H7" s="700" t="str">
        <f>ORÇAMENTO!G8</f>
        <v>CAU: 28510-2 A</v>
      </c>
      <c r="I7" s="700"/>
      <c r="J7" s="700"/>
    </row>
    <row r="8" spans="1:10" x14ac:dyDescent="0.2">
      <c r="E8" s="232"/>
      <c r="F8" s="232"/>
    </row>
    <row r="9" spans="1:10" ht="19.5" customHeight="1" x14ac:dyDescent="0.2">
      <c r="A9" s="707" t="str">
        <f>CONCATENATE("MEMÓRIA DE CÁLCULO ",ORÇAMENTO!A14)</f>
        <v>MEMÓRIA DE CÁLCULO 1</v>
      </c>
      <c r="B9" s="707"/>
      <c r="C9" s="707"/>
      <c r="D9" s="707"/>
      <c r="E9" s="707"/>
      <c r="F9" s="707"/>
      <c r="G9" s="707"/>
      <c r="H9" s="707"/>
      <c r="I9" s="707"/>
      <c r="J9" s="226"/>
    </row>
    <row r="10" spans="1:10" ht="12.75" customHeight="1" x14ac:dyDescent="0.2">
      <c r="A10" s="704" t="str">
        <f>ORÇAMENTO!B3</f>
        <v>CONSTRUÇÃO DO MONUMENTO SAGRADO CORAÇÃO DE JESUS NO MUNICÍPIO DE ULIANÓPOLIS/PA</v>
      </c>
      <c r="B10" s="704"/>
      <c r="C10" s="704"/>
      <c r="D10" s="704"/>
      <c r="E10" s="704"/>
      <c r="F10" s="704"/>
      <c r="G10" s="704"/>
      <c r="H10" s="704"/>
      <c r="I10" s="704"/>
      <c r="J10" s="227"/>
    </row>
    <row r="11" spans="1:10" s="94" customFormat="1" ht="18.75" customHeight="1" x14ac:dyDescent="0.2">
      <c r="A11" s="703" t="str">
        <f>ORÇAMENTO!D14</f>
        <v>ADMINISTRAÇÃO LOCAL</v>
      </c>
      <c r="B11" s="703"/>
      <c r="C11" s="703"/>
      <c r="D11" s="703"/>
      <c r="E11" s="703"/>
      <c r="F11" s="703"/>
      <c r="G11" s="703"/>
      <c r="H11" s="703"/>
      <c r="I11" s="703"/>
      <c r="J11" s="228"/>
    </row>
    <row r="12" spans="1:10" s="94" customFormat="1" ht="17.25" customHeight="1" x14ac:dyDescent="0.2">
      <c r="A12" s="296">
        <f>ORÇAMENTO!A14</f>
        <v>1</v>
      </c>
      <c r="B12" s="229" t="str">
        <f>[2]ORÇAMENTO!D12</f>
        <v>ADMINISTRAÇÃO LOCAL (ENGENHEIRO CIVIL E ENCARREGADO DE OBRAS)</v>
      </c>
      <c r="C12" s="214"/>
      <c r="D12" s="214"/>
      <c r="E12" s="214"/>
      <c r="F12" s="214"/>
      <c r="G12" s="214"/>
      <c r="H12" s="214"/>
      <c r="I12" s="214"/>
      <c r="J12" s="226"/>
    </row>
    <row r="13" spans="1:10" s="94" customFormat="1" ht="19.899999999999999" customHeight="1" x14ac:dyDescent="0.2">
      <c r="A13" s="214" t="str">
        <f>ORÇAMENTO!A15</f>
        <v>1.1</v>
      </c>
      <c r="B13" s="229" t="str">
        <f>ORÇAMENTO!D15</f>
        <v>ADMINISTRAÇÃO DA OBRA COM ENGENHEIRO CIVIL E ENCARREGADO GERAL</v>
      </c>
      <c r="C13" s="215"/>
      <c r="D13" s="215"/>
      <c r="E13" s="215"/>
      <c r="F13" s="215"/>
      <c r="G13" s="215"/>
      <c r="H13" s="215"/>
      <c r="I13" s="215"/>
      <c r="J13" s="226"/>
    </row>
    <row r="14" spans="1:10" ht="13.15" customHeight="1" x14ac:dyDescent="0.2">
      <c r="A14" s="214"/>
      <c r="B14" s="231" t="s">
        <v>240</v>
      </c>
      <c r="C14" s="219"/>
      <c r="D14" s="219"/>
      <c r="E14" s="219"/>
      <c r="F14" s="219"/>
      <c r="G14" s="219"/>
      <c r="H14" s="219"/>
      <c r="I14" s="219"/>
      <c r="J14" s="230"/>
    </row>
    <row r="15" spans="1:10" ht="13.5" customHeight="1" x14ac:dyDescent="0.2">
      <c r="A15" s="214"/>
      <c r="B15" s="232"/>
      <c r="C15" s="219" t="s">
        <v>146</v>
      </c>
      <c r="D15" s="219"/>
      <c r="E15" s="219" t="s">
        <v>147</v>
      </c>
      <c r="F15" s="219"/>
      <c r="G15" s="219" t="s">
        <v>148</v>
      </c>
      <c r="H15" s="219"/>
      <c r="I15" s="219"/>
      <c r="J15" s="230"/>
    </row>
    <row r="16" spans="1:10" ht="13.5" customHeight="1" x14ac:dyDescent="0.2">
      <c r="A16" s="214"/>
      <c r="B16" s="219" t="s">
        <v>149</v>
      </c>
      <c r="C16" s="219">
        <v>1</v>
      </c>
      <c r="D16" s="219" t="s">
        <v>27</v>
      </c>
      <c r="E16" s="219">
        <v>6</v>
      </c>
      <c r="F16" s="219" t="s">
        <v>27</v>
      </c>
      <c r="G16" s="219">
        <v>3</v>
      </c>
      <c r="H16" s="219" t="s">
        <v>28</v>
      </c>
      <c r="I16" s="219">
        <f>ROUND((C16*E16*G16),2)</f>
        <v>18</v>
      </c>
      <c r="J16" s="233" t="s">
        <v>144</v>
      </c>
    </row>
    <row r="17" spans="1:10" ht="13.5" customHeight="1" x14ac:dyDescent="0.2">
      <c r="A17" s="214"/>
      <c r="B17" s="234"/>
      <c r="C17" s="219"/>
      <c r="D17" s="219"/>
      <c r="E17" s="219"/>
      <c r="F17" s="219"/>
      <c r="G17" s="219"/>
      <c r="H17" s="219"/>
      <c r="I17" s="219"/>
      <c r="J17" s="230"/>
    </row>
    <row r="18" spans="1:10" ht="13.5" customHeight="1" x14ac:dyDescent="0.2">
      <c r="A18" s="214"/>
      <c r="B18" s="231" t="s">
        <v>145</v>
      </c>
      <c r="C18" s="219"/>
      <c r="D18" s="219"/>
      <c r="E18" s="219"/>
      <c r="F18" s="219"/>
      <c r="G18" s="219"/>
      <c r="H18" s="219"/>
      <c r="I18" s="219"/>
      <c r="J18" s="230"/>
    </row>
    <row r="19" spans="1:10" ht="13.5" customHeight="1" x14ac:dyDescent="0.2">
      <c r="A19" s="214"/>
      <c r="B19" s="232"/>
      <c r="C19" s="219" t="s">
        <v>146</v>
      </c>
      <c r="D19" s="219"/>
      <c r="E19" s="219" t="s">
        <v>147</v>
      </c>
      <c r="F19" s="219"/>
      <c r="G19" s="219" t="s">
        <v>148</v>
      </c>
      <c r="H19" s="219"/>
      <c r="I19" s="219"/>
      <c r="J19" s="230"/>
    </row>
    <row r="20" spans="1:10" ht="13.5" customHeight="1" x14ac:dyDescent="0.2">
      <c r="A20" s="214"/>
      <c r="B20" s="219" t="s">
        <v>149</v>
      </c>
      <c r="C20" s="219">
        <v>4</v>
      </c>
      <c r="D20" s="219" t="s">
        <v>27</v>
      </c>
      <c r="E20" s="219">
        <v>20</v>
      </c>
      <c r="F20" s="219" t="s">
        <v>27</v>
      </c>
      <c r="G20" s="219">
        <v>3</v>
      </c>
      <c r="H20" s="219" t="s">
        <v>28</v>
      </c>
      <c r="I20" s="219">
        <f>ROUND((C20*E20*G20),2)</f>
        <v>240</v>
      </c>
      <c r="J20" s="233" t="s">
        <v>144</v>
      </c>
    </row>
    <row r="21" spans="1:10" ht="13.5" customHeight="1" x14ac:dyDescent="0.2">
      <c r="A21" s="214"/>
      <c r="B21" s="219"/>
      <c r="C21" s="219"/>
      <c r="D21" s="219"/>
      <c r="E21" s="219"/>
      <c r="F21" s="219"/>
      <c r="G21" s="219"/>
      <c r="H21" s="219"/>
      <c r="I21" s="219"/>
      <c r="J21" s="230"/>
    </row>
    <row r="22" spans="1:10" x14ac:dyDescent="0.2">
      <c r="A22" s="214"/>
      <c r="B22" s="217" t="s">
        <v>26</v>
      </c>
      <c r="C22" s="217">
        <v>1</v>
      </c>
      <c r="D22" s="218" t="s">
        <v>33</v>
      </c>
      <c r="E22" s="219"/>
      <c r="F22" s="219"/>
      <c r="G22" s="219"/>
      <c r="H22" s="219"/>
      <c r="I22" s="219"/>
      <c r="J22" s="230"/>
    </row>
    <row r="24" spans="1:10" ht="15.75" customHeight="1" x14ac:dyDescent="0.2">
      <c r="A24" s="297">
        <f>ORÇAMENTO!A17</f>
        <v>2</v>
      </c>
      <c r="B24" s="231" t="str">
        <f>ORÇAMENTO!D17</f>
        <v>SERVIÇOS PRELIMINARES</v>
      </c>
      <c r="C24" s="235"/>
      <c r="D24" s="235"/>
      <c r="E24" s="235"/>
      <c r="F24" s="235"/>
      <c r="G24" s="235"/>
      <c r="H24" s="235"/>
      <c r="I24" s="235"/>
    </row>
    <row r="25" spans="1:10" ht="15.75" customHeight="1" x14ac:dyDescent="0.2">
      <c r="A25" s="214" t="str">
        <f>ORÇAMENTO!A18</f>
        <v>2.1</v>
      </c>
      <c r="B25" s="231" t="str">
        <f>ORÇAMENTO!D18</f>
        <v>Limpeza do terreno</v>
      </c>
      <c r="C25" s="235"/>
      <c r="D25" s="235"/>
      <c r="E25" s="235"/>
      <c r="F25" s="235"/>
      <c r="G25" s="235"/>
      <c r="H25" s="235"/>
      <c r="I25" s="235"/>
    </row>
    <row r="26" spans="1:10" ht="8.4499999999999993" customHeight="1" x14ac:dyDescent="0.2">
      <c r="A26" s="214"/>
      <c r="B26" s="231"/>
      <c r="C26" s="235"/>
      <c r="D26" s="235"/>
      <c r="E26" s="235"/>
      <c r="F26" s="235"/>
      <c r="G26" s="235"/>
      <c r="H26" s="235"/>
      <c r="I26" s="235"/>
    </row>
    <row r="27" spans="1:10" ht="15" x14ac:dyDescent="0.25">
      <c r="A27" s="214"/>
      <c r="B27" s="246"/>
      <c r="C27" s="247" t="s">
        <v>143</v>
      </c>
      <c r="D27" s="248"/>
      <c r="E27" s="247" t="s">
        <v>294</v>
      </c>
      <c r="F27" s="249"/>
      <c r="G27" s="250" t="s">
        <v>170</v>
      </c>
      <c r="H27" s="236"/>
      <c r="I27" s="236"/>
    </row>
    <row r="28" spans="1:10" ht="14.25" x14ac:dyDescent="0.2">
      <c r="A28" s="214"/>
      <c r="B28" s="247" t="s">
        <v>187</v>
      </c>
      <c r="C28" s="247">
        <f>3.6+1.4</f>
        <v>5</v>
      </c>
      <c r="D28" s="247" t="s">
        <v>27</v>
      </c>
      <c r="E28" s="247">
        <f>3.6+1.4</f>
        <v>5</v>
      </c>
      <c r="F28" s="251" t="s">
        <v>28</v>
      </c>
      <c r="G28" s="250">
        <f>ROUND(C28*E28,2)</f>
        <v>25</v>
      </c>
      <c r="H28" s="236"/>
      <c r="I28" s="236"/>
    </row>
    <row r="29" spans="1:10" x14ac:dyDescent="0.2">
      <c r="A29" s="214"/>
      <c r="B29" s="219"/>
      <c r="C29" s="219"/>
      <c r="D29" s="219"/>
      <c r="E29" s="219"/>
      <c r="F29" s="219"/>
      <c r="G29" s="236"/>
      <c r="H29" s="236"/>
      <c r="I29" s="236"/>
    </row>
    <row r="30" spans="1:10" x14ac:dyDescent="0.2">
      <c r="A30" s="214"/>
      <c r="B30" s="217" t="s">
        <v>26</v>
      </c>
      <c r="C30" s="217">
        <f>G28</f>
        <v>25</v>
      </c>
      <c r="D30" s="218" t="s">
        <v>0</v>
      </c>
      <c r="E30" s="219"/>
      <c r="F30" s="219"/>
      <c r="G30" s="219"/>
      <c r="H30" s="219"/>
      <c r="I30" s="219"/>
    </row>
    <row r="31" spans="1:10" x14ac:dyDescent="0.2">
      <c r="A31" s="214"/>
      <c r="B31" s="219"/>
      <c r="C31" s="219"/>
      <c r="D31" s="219"/>
      <c r="E31" s="219"/>
      <c r="F31" s="219"/>
      <c r="G31" s="219"/>
      <c r="H31" s="219"/>
      <c r="I31" s="219"/>
    </row>
    <row r="32" spans="1:10" x14ac:dyDescent="0.2">
      <c r="A32" s="214" t="str">
        <f>ORÇAMENTO!A19</f>
        <v>2.2</v>
      </c>
      <c r="B32" s="231" t="str">
        <f>ORÇAMENTO!D19</f>
        <v>Placa de obra em lona com plotagem de gráfica</v>
      </c>
      <c r="C32" s="219"/>
      <c r="D32" s="219"/>
      <c r="E32" s="219"/>
      <c r="F32" s="219"/>
      <c r="G32" s="219"/>
      <c r="H32" s="219"/>
      <c r="I32" s="219"/>
    </row>
    <row r="33" spans="1:10" x14ac:dyDescent="0.2">
      <c r="A33" s="214"/>
      <c r="B33" s="219"/>
      <c r="C33" s="219"/>
      <c r="D33" s="219"/>
      <c r="E33" s="219"/>
      <c r="F33" s="219"/>
      <c r="G33" s="219"/>
      <c r="H33" s="219"/>
      <c r="I33" s="219"/>
    </row>
    <row r="34" spans="1:10" ht="15" x14ac:dyDescent="0.25">
      <c r="A34" s="214"/>
      <c r="B34" s="246"/>
      <c r="C34" s="247" t="s">
        <v>143</v>
      </c>
      <c r="D34" s="248"/>
      <c r="E34" s="247" t="s">
        <v>186</v>
      </c>
      <c r="F34" s="249"/>
      <c r="G34" s="250" t="s">
        <v>170</v>
      </c>
      <c r="H34" s="219"/>
      <c r="I34" s="219"/>
    </row>
    <row r="35" spans="1:10" ht="14.25" x14ac:dyDescent="0.2">
      <c r="A35" s="214"/>
      <c r="B35" s="247" t="s">
        <v>187</v>
      </c>
      <c r="C35" s="247">
        <v>3</v>
      </c>
      <c r="D35" s="247" t="s">
        <v>27</v>
      </c>
      <c r="E35" s="247">
        <v>2</v>
      </c>
      <c r="F35" s="251" t="s">
        <v>28</v>
      </c>
      <c r="G35" s="250">
        <f>ROUND(C35*E35,2)</f>
        <v>6</v>
      </c>
      <c r="H35" s="219"/>
      <c r="I35" s="219"/>
    </row>
    <row r="36" spans="1:10" x14ac:dyDescent="0.2">
      <c r="A36" s="214"/>
      <c r="B36" s="219"/>
      <c r="C36" s="219"/>
      <c r="D36" s="219"/>
      <c r="E36" s="219"/>
      <c r="F36" s="219"/>
      <c r="G36" s="236"/>
      <c r="H36" s="219"/>
      <c r="I36" s="219"/>
    </row>
    <row r="37" spans="1:10" x14ac:dyDescent="0.2">
      <c r="A37" s="214"/>
      <c r="B37" s="217" t="s">
        <v>26</v>
      </c>
      <c r="C37" s="217">
        <f>G35</f>
        <v>6</v>
      </c>
      <c r="D37" s="218" t="s">
        <v>0</v>
      </c>
      <c r="E37" s="219"/>
      <c r="F37" s="219"/>
      <c r="G37" s="219"/>
      <c r="H37" s="219"/>
      <c r="I37" s="219"/>
    </row>
    <row r="38" spans="1:10" x14ac:dyDescent="0.2">
      <c r="A38" s="214"/>
      <c r="B38" s="219"/>
      <c r="C38" s="219"/>
      <c r="D38" s="219"/>
      <c r="E38" s="219"/>
      <c r="F38" s="219"/>
      <c r="G38" s="219"/>
      <c r="H38" s="219"/>
      <c r="I38" s="219"/>
    </row>
    <row r="39" spans="1:10" x14ac:dyDescent="0.2">
      <c r="A39" s="109" t="str">
        <f>ORÇAMENTO!A20</f>
        <v>2.3</v>
      </c>
      <c r="B39" s="687" t="str">
        <f>ORÇAMENTO!D20</f>
        <v>Tapume metálico</v>
      </c>
      <c r="C39" s="687"/>
      <c r="D39" s="687"/>
      <c r="E39" s="687"/>
      <c r="F39" s="687"/>
      <c r="G39" s="687"/>
      <c r="H39" s="687"/>
      <c r="I39" s="687"/>
      <c r="J39" s="687"/>
    </row>
    <row r="41" spans="1:10" ht="15" x14ac:dyDescent="0.25">
      <c r="B41" s="246"/>
      <c r="C41" s="688" t="s">
        <v>225</v>
      </c>
      <c r="D41" s="688"/>
      <c r="E41" s="688"/>
      <c r="F41" s="688"/>
      <c r="G41" s="688"/>
      <c r="H41" s="35"/>
      <c r="I41" s="250" t="s">
        <v>226</v>
      </c>
    </row>
    <row r="42" spans="1:10" ht="14.25" x14ac:dyDescent="0.2">
      <c r="B42" s="247" t="s">
        <v>149</v>
      </c>
      <c r="C42" s="247">
        <v>14</v>
      </c>
      <c r="D42" s="247" t="s">
        <v>185</v>
      </c>
      <c r="E42" s="247">
        <v>16</v>
      </c>
      <c r="F42" s="247" t="s">
        <v>185</v>
      </c>
      <c r="G42" s="247">
        <v>16</v>
      </c>
      <c r="H42" s="251" t="s">
        <v>28</v>
      </c>
      <c r="I42" s="250">
        <f>ROUND(SUM(C42,E42,G42),2)</f>
        <v>46</v>
      </c>
    </row>
    <row r="43" spans="1:10" ht="10.9" customHeight="1" x14ac:dyDescent="0.2">
      <c r="B43" s="219"/>
      <c r="C43" s="219"/>
      <c r="D43" s="219"/>
      <c r="E43" s="219"/>
      <c r="F43" s="219"/>
      <c r="G43" s="236"/>
    </row>
    <row r="44" spans="1:10" ht="15" x14ac:dyDescent="0.25">
      <c r="B44" s="246"/>
      <c r="C44" s="247" t="s">
        <v>227</v>
      </c>
      <c r="D44" s="248"/>
      <c r="E44" s="247" t="s">
        <v>186</v>
      </c>
      <c r="F44" s="249"/>
      <c r="G44" s="250" t="s">
        <v>170</v>
      </c>
    </row>
    <row r="45" spans="1:10" ht="14.25" x14ac:dyDescent="0.2">
      <c r="B45" s="247" t="s">
        <v>187</v>
      </c>
      <c r="C45" s="247">
        <f>I42</f>
        <v>46</v>
      </c>
      <c r="D45" s="247" t="s">
        <v>27</v>
      </c>
      <c r="E45" s="247">
        <v>2</v>
      </c>
      <c r="F45" s="251" t="s">
        <v>28</v>
      </c>
      <c r="G45" s="250">
        <f>ROUND(C45*E45,2)</f>
        <v>92</v>
      </c>
    </row>
    <row r="46" spans="1:10" x14ac:dyDescent="0.2">
      <c r="B46" s="219"/>
      <c r="C46" s="219"/>
      <c r="D46" s="219"/>
      <c r="E46" s="219"/>
      <c r="F46" s="219"/>
      <c r="G46" s="236"/>
    </row>
    <row r="47" spans="1:10" x14ac:dyDescent="0.2">
      <c r="B47" s="216" t="s">
        <v>26</v>
      </c>
      <c r="C47" s="217">
        <f>G45</f>
        <v>92</v>
      </c>
      <c r="D47" s="218" t="s">
        <v>0</v>
      </c>
      <c r="E47" s="219"/>
      <c r="F47" s="219"/>
      <c r="G47" s="219"/>
    </row>
    <row r="49" spans="1:10" x14ac:dyDescent="0.2">
      <c r="A49" s="109" t="str">
        <f>ORÇAMENTO!A21</f>
        <v>2.4</v>
      </c>
      <c r="B49" s="212" t="str">
        <f>ORÇAMENTO!D21</f>
        <v>Locação da obra a trena</v>
      </c>
    </row>
    <row r="51" spans="1:10" ht="15" x14ac:dyDescent="0.25">
      <c r="B51" s="246"/>
      <c r="C51" s="247" t="s">
        <v>143</v>
      </c>
      <c r="D51" s="248"/>
      <c r="E51" s="247" t="s">
        <v>142</v>
      </c>
      <c r="F51" s="249"/>
      <c r="G51" s="250" t="s">
        <v>170</v>
      </c>
    </row>
    <row r="52" spans="1:10" ht="14.25" x14ac:dyDescent="0.2">
      <c r="B52" s="247" t="s">
        <v>187</v>
      </c>
      <c r="C52" s="247">
        <v>16</v>
      </c>
      <c r="D52" s="247" t="s">
        <v>27</v>
      </c>
      <c r="E52" s="247">
        <v>14</v>
      </c>
      <c r="F52" s="251" t="s">
        <v>28</v>
      </c>
      <c r="G52" s="250">
        <f>ROUND(C52*E52,2)</f>
        <v>224</v>
      </c>
    </row>
    <row r="53" spans="1:10" ht="8.4499999999999993" customHeight="1" x14ac:dyDescent="0.2"/>
    <row r="54" spans="1:10" x14ac:dyDescent="0.2">
      <c r="B54" s="216" t="s">
        <v>26</v>
      </c>
      <c r="C54" s="217">
        <f>G52</f>
        <v>224</v>
      </c>
      <c r="D54" s="218" t="s">
        <v>0</v>
      </c>
    </row>
    <row r="56" spans="1:10" x14ac:dyDescent="0.2">
      <c r="A56" s="109">
        <f>ORÇAMENTO!A23</f>
        <v>3</v>
      </c>
      <c r="B56" s="687" t="str">
        <f>ORÇAMENTO!D23</f>
        <v>ESTRUTURA</v>
      </c>
      <c r="C56" s="687"/>
      <c r="D56" s="687"/>
      <c r="E56" s="687"/>
      <c r="F56" s="687"/>
      <c r="G56" s="687"/>
      <c r="H56" s="687"/>
      <c r="I56" s="687"/>
      <c r="J56" s="687"/>
    </row>
    <row r="57" spans="1:10" x14ac:dyDescent="0.2">
      <c r="A57" s="109" t="str">
        <f>ORÇAMENTO!A24</f>
        <v>3.1</v>
      </c>
      <c r="B57" s="687" t="str">
        <f>ORÇAMENTO!D24</f>
        <v>INFRAESTRUTURA</v>
      </c>
      <c r="C57" s="687"/>
      <c r="D57" s="687"/>
      <c r="E57" s="687"/>
      <c r="F57" s="687"/>
      <c r="G57" s="687"/>
      <c r="H57" s="687"/>
      <c r="I57" s="687"/>
      <c r="J57" s="687"/>
    </row>
    <row r="58" spans="1:10" x14ac:dyDescent="0.2">
      <c r="A58" s="109" t="str">
        <f>ORÇAMENTO!A25</f>
        <v>3.1.1</v>
      </c>
      <c r="B58" s="212" t="str">
        <f>ORÇAMENTO!D25</f>
        <v>Lastro de concreto magro c/ seixo</v>
      </c>
      <c r="C58" s="212"/>
      <c r="D58" s="212"/>
      <c r="E58" s="212"/>
      <c r="F58" s="212"/>
      <c r="G58" s="212"/>
      <c r="H58" s="212"/>
      <c r="I58" s="212"/>
      <c r="J58" s="212"/>
    </row>
    <row r="60" spans="1:10" ht="15" x14ac:dyDescent="0.25">
      <c r="B60" s="246"/>
      <c r="C60" s="247" t="s">
        <v>295</v>
      </c>
      <c r="D60" s="248"/>
      <c r="E60" s="247" t="s">
        <v>296</v>
      </c>
      <c r="F60" s="249"/>
      <c r="G60" s="247" t="s">
        <v>186</v>
      </c>
      <c r="H60" s="213"/>
      <c r="I60" s="250" t="s">
        <v>184</v>
      </c>
    </row>
    <row r="61" spans="1:10" ht="14.25" x14ac:dyDescent="0.2">
      <c r="B61" s="247" t="s">
        <v>187</v>
      </c>
      <c r="C61" s="247">
        <f>C68+0.1</f>
        <v>1.75</v>
      </c>
      <c r="D61" s="247" t="s">
        <v>27</v>
      </c>
      <c r="E61" s="247">
        <f>E68+0.1</f>
        <v>1.75</v>
      </c>
      <c r="F61" s="251" t="s">
        <v>27</v>
      </c>
      <c r="G61" s="247">
        <v>0.05</v>
      </c>
      <c r="H61" s="250" t="s">
        <v>28</v>
      </c>
      <c r="I61" s="250">
        <f>ROUND(C61*E61*G61,2)</f>
        <v>0.15</v>
      </c>
    </row>
    <row r="63" spans="1:10" x14ac:dyDescent="0.2">
      <c r="B63" s="216" t="s">
        <v>26</v>
      </c>
      <c r="C63" s="217">
        <f>I61</f>
        <v>0.15</v>
      </c>
      <c r="D63" s="218" t="s">
        <v>177</v>
      </c>
    </row>
    <row r="65" spans="1:12" x14ac:dyDescent="0.2">
      <c r="A65" s="109" t="str">
        <f>ORÇAMENTO!A26</f>
        <v>3.1.2</v>
      </c>
      <c r="B65" s="212" t="str">
        <f>ORÇAMENTO!D26</f>
        <v>Concreto armado FCK=30MPA c/ forma madeira branca (incl. lançamento e adensamento)</v>
      </c>
    </row>
    <row r="67" spans="1:12" ht="15" x14ac:dyDescent="0.25">
      <c r="B67" s="246"/>
      <c r="C67" s="247" t="s">
        <v>143</v>
      </c>
      <c r="D67" s="248"/>
      <c r="E67" s="247" t="s">
        <v>142</v>
      </c>
      <c r="F67" s="249"/>
      <c r="G67" s="247" t="s">
        <v>186</v>
      </c>
      <c r="H67" s="213"/>
      <c r="I67" s="250" t="s">
        <v>184</v>
      </c>
    </row>
    <row r="68" spans="1:12" ht="14.25" x14ac:dyDescent="0.2">
      <c r="B68" s="247" t="s">
        <v>380</v>
      </c>
      <c r="C68" s="247">
        <v>1.65</v>
      </c>
      <c r="D68" s="247" t="s">
        <v>27</v>
      </c>
      <c r="E68" s="247">
        <v>1.65</v>
      </c>
      <c r="F68" s="251" t="s">
        <v>27</v>
      </c>
      <c r="G68" s="247">
        <v>0.3</v>
      </c>
      <c r="H68" s="250" t="s">
        <v>28</v>
      </c>
      <c r="I68" s="250">
        <f>ROUND(C68*E68*G68,2)</f>
        <v>0.82</v>
      </c>
    </row>
    <row r="69" spans="1:12" ht="14.25" x14ac:dyDescent="0.2">
      <c r="B69" s="247" t="s">
        <v>338</v>
      </c>
      <c r="C69" s="247">
        <v>1.57</v>
      </c>
      <c r="D69" s="247" t="s">
        <v>27</v>
      </c>
      <c r="E69" s="247">
        <v>1.57</v>
      </c>
      <c r="F69" s="251" t="s">
        <v>27</v>
      </c>
      <c r="G69" s="247">
        <v>1.2</v>
      </c>
      <c r="H69" s="250" t="s">
        <v>28</v>
      </c>
      <c r="I69" s="250">
        <f>ROUND(C69*E69*G69,2)</f>
        <v>2.96</v>
      </c>
    </row>
    <row r="71" spans="1:12" x14ac:dyDescent="0.2">
      <c r="B71" s="216" t="s">
        <v>26</v>
      </c>
      <c r="C71" s="217">
        <f>SUM(I68:I69)</f>
        <v>3.78</v>
      </c>
      <c r="D71" s="218" t="s">
        <v>177</v>
      </c>
      <c r="K71" s="298"/>
      <c r="L71" s="298"/>
    </row>
    <row r="72" spans="1:12" x14ac:dyDescent="0.2">
      <c r="B72" s="219"/>
      <c r="C72" s="219"/>
      <c r="D72" s="219"/>
    </row>
    <row r="73" spans="1:12" ht="32.25" customHeight="1" x14ac:dyDescent="0.2">
      <c r="A73" s="109" t="str">
        <f>ORÇAMENTO!A27</f>
        <v>3.1.3</v>
      </c>
      <c r="B73" s="695" t="str">
        <f>ORÇAMENTO!D27</f>
        <v>EXECUÇÃO DE PASSEIO (CALÇADA) OU PISO DE CONCRETO COM CONCRETO MOLDADO IN LOCO, FEITO EM OBRA, ACABAMENTO CONVENCIONAL, NÃO ARMADO. AF_08/2022</v>
      </c>
      <c r="C73" s="695"/>
      <c r="D73" s="695"/>
      <c r="E73" s="695"/>
      <c r="F73" s="695"/>
      <c r="G73" s="695"/>
      <c r="H73" s="695"/>
      <c r="I73" s="695"/>
      <c r="J73" s="695"/>
    </row>
    <row r="75" spans="1:12" ht="15" x14ac:dyDescent="0.25">
      <c r="B75" s="246"/>
      <c r="C75" s="358" t="s">
        <v>386</v>
      </c>
      <c r="D75" s="248"/>
      <c r="E75" s="247" t="s">
        <v>387</v>
      </c>
      <c r="F75" s="249"/>
      <c r="G75" s="247" t="s">
        <v>186</v>
      </c>
      <c r="H75" s="213"/>
      <c r="I75" s="250" t="s">
        <v>184</v>
      </c>
    </row>
    <row r="76" spans="1:12" ht="42.75" x14ac:dyDescent="0.2">
      <c r="B76" s="266" t="s">
        <v>385</v>
      </c>
      <c r="C76" s="250">
        <v>3.14</v>
      </c>
      <c r="D76" s="250" t="s">
        <v>27</v>
      </c>
      <c r="E76" s="250">
        <f>1.875*1.875</f>
        <v>3.515625</v>
      </c>
      <c r="F76" s="251" t="s">
        <v>27</v>
      </c>
      <c r="G76" s="250">
        <v>0.2</v>
      </c>
      <c r="H76" s="250" t="s">
        <v>28</v>
      </c>
      <c r="I76" s="250">
        <f>ROUND(C76*E76*G76,2)</f>
        <v>2.21</v>
      </c>
    </row>
    <row r="78" spans="1:12" x14ac:dyDescent="0.2">
      <c r="B78" s="216" t="s">
        <v>26</v>
      </c>
      <c r="C78" s="217">
        <f>SUM(I76:I76)</f>
        <v>2.21</v>
      </c>
      <c r="D78" s="218" t="s">
        <v>177</v>
      </c>
      <c r="K78" s="298"/>
      <c r="L78" s="298"/>
    </row>
    <row r="79" spans="1:12" s="361" customFormat="1" x14ac:dyDescent="0.2">
      <c r="A79" s="359"/>
      <c r="B79" s="360"/>
      <c r="C79" s="360"/>
      <c r="D79" s="360"/>
      <c r="K79" s="362"/>
      <c r="L79" s="362"/>
    </row>
    <row r="80" spans="1:12" x14ac:dyDescent="0.2">
      <c r="A80" s="109" t="str">
        <f>ORÇAMENTO!A28</f>
        <v>3.2</v>
      </c>
      <c r="B80" s="691" t="str">
        <f>ORÇAMENTO!D28</f>
        <v>SUPERESTRUTURA - MONUMENTO</v>
      </c>
      <c r="C80" s="691"/>
      <c r="D80" s="691"/>
      <c r="E80" s="691"/>
      <c r="F80" s="691"/>
      <c r="G80" s="691"/>
      <c r="H80" s="691"/>
      <c r="I80" s="691"/>
      <c r="J80" s="691"/>
    </row>
    <row r="81" spans="1:10" x14ac:dyDescent="0.2">
      <c r="A81" s="109" t="str">
        <f>ORÇAMENTO!A29</f>
        <v>3.2.1</v>
      </c>
      <c r="B81" s="687" t="str">
        <f>ORÇAMENTO!D29</f>
        <v>Aluguel e montagem de andaime metálico</v>
      </c>
      <c r="C81" s="687"/>
      <c r="D81" s="687"/>
      <c r="E81" s="687"/>
      <c r="F81" s="687"/>
      <c r="G81" s="687"/>
      <c r="H81" s="687"/>
      <c r="I81" s="687"/>
      <c r="J81" s="687"/>
    </row>
    <row r="83" spans="1:10" ht="15" x14ac:dyDescent="0.25">
      <c r="B83" s="252"/>
      <c r="C83" s="253" t="s">
        <v>143</v>
      </c>
      <c r="D83" s="254"/>
      <c r="E83" s="253" t="s">
        <v>228</v>
      </c>
      <c r="F83" s="254"/>
      <c r="G83" s="255" t="s">
        <v>7</v>
      </c>
      <c r="H83" s="255"/>
      <c r="I83" s="250" t="s">
        <v>170</v>
      </c>
      <c r="J83" s="256"/>
    </row>
    <row r="84" spans="1:10" ht="14.25" x14ac:dyDescent="0.2">
      <c r="B84" s="253" t="s">
        <v>29</v>
      </c>
      <c r="C84" s="253">
        <v>1</v>
      </c>
      <c r="D84" s="253" t="s">
        <v>27</v>
      </c>
      <c r="E84" s="253">
        <v>1</v>
      </c>
      <c r="F84" s="253" t="s">
        <v>27</v>
      </c>
      <c r="G84" s="253">
        <v>20</v>
      </c>
      <c r="H84" s="255" t="s">
        <v>28</v>
      </c>
      <c r="I84" s="253">
        <f>ROUND((C84*E84*G84),2)</f>
        <v>20</v>
      </c>
      <c r="J84" s="257"/>
    </row>
    <row r="86" spans="1:10" ht="15" x14ac:dyDescent="0.25">
      <c r="B86" s="246"/>
      <c r="C86" s="250" t="s">
        <v>170</v>
      </c>
      <c r="D86" s="248"/>
      <c r="E86" s="247" t="s">
        <v>229</v>
      </c>
      <c r="F86" s="255"/>
      <c r="G86" s="250" t="s">
        <v>170</v>
      </c>
    </row>
    <row r="87" spans="1:10" ht="14.25" x14ac:dyDescent="0.2">
      <c r="B87" s="247" t="s">
        <v>187</v>
      </c>
      <c r="C87" s="247">
        <f>I84</f>
        <v>20</v>
      </c>
      <c r="D87" s="247" t="s">
        <v>27</v>
      </c>
      <c r="E87" s="247">
        <v>3</v>
      </c>
      <c r="F87" s="255" t="s">
        <v>28</v>
      </c>
      <c r="G87" s="253">
        <f>ROUND((C87*E87),2)</f>
        <v>60</v>
      </c>
    </row>
    <row r="89" spans="1:10" x14ac:dyDescent="0.2">
      <c r="B89" s="216" t="s">
        <v>26</v>
      </c>
      <c r="C89" s="217">
        <f>G87</f>
        <v>60</v>
      </c>
      <c r="D89" s="218" t="s">
        <v>0</v>
      </c>
    </row>
    <row r="91" spans="1:10" ht="15.6" customHeight="1" x14ac:dyDescent="0.2">
      <c r="A91" s="109" t="str">
        <f>ORÇAMENTO!A30</f>
        <v>3.3</v>
      </c>
      <c r="B91" s="212" t="str">
        <f>ORÇAMENTO!D30</f>
        <v>BASE DE APOIO</v>
      </c>
    </row>
    <row r="93" spans="1:10" x14ac:dyDescent="0.2">
      <c r="A93" s="109" t="str">
        <f>ORÇAMENTO!A31</f>
        <v>3.3.2</v>
      </c>
      <c r="B93" s="690" t="str">
        <f>ORÇAMENTO!D31</f>
        <v>Concreto armado FCK=30MPA c/ forma madeira branca (incl. lançamento e adensamento)</v>
      </c>
      <c r="C93" s="690"/>
      <c r="D93" s="690"/>
      <c r="E93" s="690"/>
      <c r="F93" s="690"/>
      <c r="G93" s="690"/>
      <c r="H93" s="690"/>
      <c r="I93" s="690"/>
      <c r="J93" s="690"/>
    </row>
    <row r="95" spans="1:10" x14ac:dyDescent="0.2">
      <c r="B95" s="354"/>
      <c r="C95" s="354" t="s">
        <v>384</v>
      </c>
      <c r="D95" s="354"/>
      <c r="E95" s="354" t="s">
        <v>388</v>
      </c>
      <c r="F95" s="354"/>
      <c r="G95" s="354" t="s">
        <v>186</v>
      </c>
      <c r="H95" s="354"/>
      <c r="I95" s="354" t="s">
        <v>29</v>
      </c>
    </row>
    <row r="96" spans="1:10" ht="38.25" x14ac:dyDescent="0.2">
      <c r="B96" s="13" t="s">
        <v>389</v>
      </c>
      <c r="C96" s="363">
        <v>1.35</v>
      </c>
      <c r="D96" s="363" t="s">
        <v>27</v>
      </c>
      <c r="E96" s="363">
        <v>1</v>
      </c>
      <c r="F96" s="363" t="s">
        <v>27</v>
      </c>
      <c r="G96" s="363">
        <v>1.1000000000000001</v>
      </c>
      <c r="H96" s="363" t="s">
        <v>28</v>
      </c>
      <c r="I96" s="363">
        <f>((C96+E96)*G96)/2</f>
        <v>1.2925000000000002</v>
      </c>
    </row>
    <row r="98" spans="1:10" x14ac:dyDescent="0.2">
      <c r="B98" s="363" t="s">
        <v>390</v>
      </c>
      <c r="C98" s="363" t="s">
        <v>391</v>
      </c>
      <c r="D98" s="363"/>
      <c r="E98" s="363" t="s">
        <v>142</v>
      </c>
      <c r="F98" s="363"/>
      <c r="G98" s="363" t="s">
        <v>186</v>
      </c>
      <c r="H98" s="363"/>
      <c r="I98" s="363" t="s">
        <v>29</v>
      </c>
    </row>
    <row r="99" spans="1:10" x14ac:dyDescent="0.2">
      <c r="B99" s="363" t="s">
        <v>233</v>
      </c>
      <c r="C99" s="363">
        <f>I96</f>
        <v>1.2925000000000002</v>
      </c>
      <c r="D99" s="363" t="s">
        <v>27</v>
      </c>
      <c r="E99" s="363">
        <f>C96</f>
        <v>1.35</v>
      </c>
      <c r="F99" s="363" t="s">
        <v>27</v>
      </c>
      <c r="G99" s="363">
        <v>1.1000000000000001</v>
      </c>
      <c r="H99" s="363" t="s">
        <v>28</v>
      </c>
      <c r="I99" s="363">
        <f>ROUND(C99*E99*G99,2)</f>
        <v>1.92</v>
      </c>
    </row>
    <row r="101" spans="1:10" x14ac:dyDescent="0.2">
      <c r="B101" s="216" t="s">
        <v>26</v>
      </c>
      <c r="C101" s="217">
        <f>I99</f>
        <v>1.92</v>
      </c>
      <c r="D101" s="218" t="s">
        <v>177</v>
      </c>
    </row>
    <row r="103" spans="1:10" x14ac:dyDescent="0.2">
      <c r="A103" s="109">
        <f>ORÇAMENTO!A33</f>
        <v>4</v>
      </c>
      <c r="B103" s="212" t="str">
        <f>ORÇAMENTO!D33</f>
        <v>ELEMENTOS DECORATIVOS</v>
      </c>
    </row>
    <row r="104" spans="1:10" x14ac:dyDescent="0.2">
      <c r="A104" s="109" t="str">
        <f>ORÇAMENTO!A34</f>
        <v>4.1</v>
      </c>
      <c r="B104" s="212" t="str">
        <f>ORÇAMENTO!D34</f>
        <v>FORNECIMENTO E INSTALAÇÃO DE ELEMENTO DECORATIVO EM AÇO INOXIDÁVEL - PAINEL MEDINDO 5,80mx4,15 m</v>
      </c>
    </row>
    <row r="106" spans="1:10" x14ac:dyDescent="0.2">
      <c r="B106" s="216" t="s">
        <v>26</v>
      </c>
      <c r="C106" s="217">
        <v>1</v>
      </c>
      <c r="D106" s="218" t="s">
        <v>33</v>
      </c>
    </row>
    <row r="108" spans="1:10" ht="30.75" customHeight="1" x14ac:dyDescent="0.2">
      <c r="A108" s="109" t="str">
        <f>ORÇAMENTO!A35</f>
        <v>4.2</v>
      </c>
      <c r="B108" s="694" t="str">
        <f>ORÇAMENTO!D35</f>
        <v>FABRICAÇÃO, EXECUÇÃO E MONTAGEM DE ESTATUA DE SAGRADO CORACAO DE JESUS EM ESTRUTURA METÁLICA E RECOBRIMENTO EM FIBRA DE VIDRO SINTÉTICA E ACABAMENTO EM GEL RESINADO E PINTURA DE ACABAMENTO FINAL.</v>
      </c>
      <c r="C108" s="694"/>
      <c r="D108" s="694"/>
      <c r="E108" s="694"/>
      <c r="F108" s="694"/>
      <c r="G108" s="694"/>
      <c r="H108" s="694"/>
      <c r="I108" s="694"/>
      <c r="J108" s="694"/>
    </row>
    <row r="110" spans="1:10" x14ac:dyDescent="0.2">
      <c r="B110" s="216" t="s">
        <v>26</v>
      </c>
      <c r="C110" s="217">
        <v>1</v>
      </c>
      <c r="D110" s="218" t="s">
        <v>33</v>
      </c>
    </row>
    <row r="112" spans="1:10" x14ac:dyDescent="0.2">
      <c r="A112" s="109" t="str">
        <f>ORÇAMENTO!A36</f>
        <v>4.3</v>
      </c>
      <c r="B112" s="212" t="str">
        <f>ORÇAMENTO!D36</f>
        <v>INSTALAÇÃO DE ESTATUA DE SAGRADO CORAÇÃO DE JESUS EM ESTRUTURA METÁLICA, INCLUINDO IÇAMENTO</v>
      </c>
    </row>
    <row r="114" spans="1:10" x14ac:dyDescent="0.2">
      <c r="B114" s="216" t="s">
        <v>26</v>
      </c>
      <c r="C114" s="217">
        <v>1</v>
      </c>
      <c r="D114" s="218" t="s">
        <v>33</v>
      </c>
    </row>
    <row r="116" spans="1:10" x14ac:dyDescent="0.2">
      <c r="A116" s="109" t="str">
        <f>ORÇAMENTO!A37</f>
        <v>4.4</v>
      </c>
      <c r="B116" s="212" t="str">
        <f>ORÇAMENTO!D37</f>
        <v>TRANSPORTE DE ESTATUA DO SAGRADO CORAÇÃO DE JESUS EM ESTRUTURA METÁLICA DE SANTA MARIA DO PARÁ PARA ULIANÓPOLIS/PA.</v>
      </c>
    </row>
    <row r="118" spans="1:10" x14ac:dyDescent="0.2">
      <c r="B118" s="216" t="s">
        <v>26</v>
      </c>
      <c r="C118" s="217">
        <v>1</v>
      </c>
      <c r="D118" s="218" t="s">
        <v>33</v>
      </c>
    </row>
    <row r="120" spans="1:10" x14ac:dyDescent="0.2">
      <c r="A120" s="109">
        <f>ORÇAMENTO!A39</f>
        <v>5</v>
      </c>
      <c r="B120" s="212" t="str">
        <f>ORÇAMENTO!D39</f>
        <v>INSTALAÇÕES ELÉTRICAS</v>
      </c>
    </row>
    <row r="121" spans="1:10" x14ac:dyDescent="0.2">
      <c r="A121" s="109" t="str">
        <f>ORÇAMENTO!A40</f>
        <v>5.1</v>
      </c>
      <c r="B121" s="212" t="str">
        <f>ORÇAMENTO!D40</f>
        <v>Ponto de luz / força (c/tubul., cx. e fiaçao) ate 200W</v>
      </c>
    </row>
    <row r="123" spans="1:10" x14ac:dyDescent="0.2">
      <c r="B123" s="216" t="s">
        <v>26</v>
      </c>
      <c r="C123" s="217">
        <v>10</v>
      </c>
      <c r="D123" s="218" t="s">
        <v>232</v>
      </c>
    </row>
    <row r="125" spans="1:10" ht="30" customHeight="1" x14ac:dyDescent="0.2">
      <c r="A125" s="109" t="str">
        <f>ORÇAMENTO!A41</f>
        <v>5.2</v>
      </c>
      <c r="B125" s="693" t="str">
        <f>ORÇAMENTO!D41</f>
        <v>FORNECIMENTO E INSTALAÇÃO DE REFLETOR DE LED RGB 100 W COM CAIXA DE CONCRETO , FECHADO COM GRADE DE FERRO E CADEADO.</v>
      </c>
      <c r="C125" s="693"/>
      <c r="D125" s="693"/>
      <c r="E125" s="693"/>
      <c r="F125" s="693"/>
      <c r="G125" s="693"/>
      <c r="H125" s="693"/>
      <c r="I125" s="693"/>
      <c r="J125" s="693"/>
    </row>
    <row r="127" spans="1:10" x14ac:dyDescent="0.2">
      <c r="B127" s="216" t="s">
        <v>26</v>
      </c>
      <c r="C127" s="217">
        <v>2</v>
      </c>
      <c r="D127" s="218" t="s">
        <v>33</v>
      </c>
    </row>
    <row r="129" spans="1:9" x14ac:dyDescent="0.2">
      <c r="A129" s="109" t="str">
        <f>ORÇAMENTO!A42</f>
        <v>5.3</v>
      </c>
      <c r="B129" s="690" t="str">
        <f>ORÇAMENTO!D42</f>
        <v>LUMINÁRIA ALUMINIO PERFIL LED, USO EXTERNO, IP-67 + FITA LED 10W/m, LUZ AMARELA,  COM FONTE - FORNECIMENTO E INSTALAÇÃO</v>
      </c>
      <c r="C129" s="690"/>
      <c r="D129" s="690"/>
      <c r="E129" s="690"/>
      <c r="F129" s="690"/>
      <c r="G129" s="690"/>
      <c r="H129" s="690"/>
      <c r="I129" s="690"/>
    </row>
    <row r="131" spans="1:9" x14ac:dyDescent="0.2">
      <c r="B131" s="216" t="s">
        <v>26</v>
      </c>
      <c r="C131" s="217">
        <f>4.1+5.8+4.1</f>
        <v>13.999999999999998</v>
      </c>
      <c r="D131" s="218" t="s">
        <v>287</v>
      </c>
    </row>
    <row r="133" spans="1:9" x14ac:dyDescent="0.2">
      <c r="A133" s="109" t="str">
        <f>ORÇAMENTO!A43</f>
        <v>5.4</v>
      </c>
      <c r="B133" s="212" t="str">
        <f>ORÇAMENTO!D43</f>
        <v>FORNECIMENTO E INSTALAÇÃO DE REFLETOR DE LED 100 W, LUZ AMARELA, À PROVA D'ÁGUA, EMBUTIDO NO PISO.</v>
      </c>
    </row>
    <row r="135" spans="1:9" x14ac:dyDescent="0.2">
      <c r="B135" s="216" t="s">
        <v>26</v>
      </c>
      <c r="C135" s="217">
        <v>3</v>
      </c>
      <c r="D135" s="218" t="s">
        <v>33</v>
      </c>
    </row>
    <row r="137" spans="1:9" x14ac:dyDescent="0.2">
      <c r="A137" s="109" t="str">
        <f>ORÇAMENTO!A44</f>
        <v>5.5</v>
      </c>
      <c r="B137" s="281" t="str">
        <f>ORÇAMENTO!D44</f>
        <v>FORNECIMENTO E INSTALAÇÃO DE LUMINÁRIA SPOT LED BALIZADOR PARA PISO, LUZ AMARELA 5W, À PROVA D'ÁGUA, EMBUTIDO NO PISO.</v>
      </c>
    </row>
    <row r="139" spans="1:9" x14ac:dyDescent="0.2">
      <c r="B139" s="216" t="s">
        <v>26</v>
      </c>
      <c r="C139" s="217">
        <v>4</v>
      </c>
      <c r="D139" s="218" t="s">
        <v>33</v>
      </c>
    </row>
    <row r="141" spans="1:9" x14ac:dyDescent="0.2">
      <c r="A141" s="109">
        <f>ORÇAMENTO!A46</f>
        <v>6</v>
      </c>
      <c r="B141" s="212" t="str">
        <f>ORÇAMENTO!D46</f>
        <v>PINTURA</v>
      </c>
    </row>
    <row r="142" spans="1:9" x14ac:dyDescent="0.2">
      <c r="A142" s="109" t="str">
        <f>ORÇAMENTO!A47</f>
        <v>6.1</v>
      </c>
      <c r="B142" s="212" t="str">
        <f>ORÇAMENTO!D47</f>
        <v>FUNDO SELADOR ACRÍLICO, APLICAÇÃO MANUAL EM PAREDE, UMA DEMÃO. AF_04/2023</v>
      </c>
    </row>
    <row r="143" spans="1:9" x14ac:dyDescent="0.2">
      <c r="A143" s="109" t="str">
        <f>ORÇAMENTO!A48</f>
        <v>6.2</v>
      </c>
      <c r="B143" s="212" t="str">
        <f>ORÇAMENTO!D48</f>
        <v>PINTURA DE PISO COM TINTA ACRÍLICA, APLICAÇÃO MANUAL, 3 DEMÃOS, INCLUSO FUNDO PREPARADOR. AF_05/2021</v>
      </c>
    </row>
    <row r="144" spans="1:9" x14ac:dyDescent="0.2">
      <c r="A144" s="109"/>
      <c r="B144" s="212"/>
    </row>
    <row r="145" spans="1:10" ht="15" x14ac:dyDescent="0.25">
      <c r="A145" s="109"/>
      <c r="B145" s="252"/>
      <c r="C145" s="253" t="s">
        <v>143</v>
      </c>
      <c r="D145" s="254"/>
      <c r="E145" s="253" t="s">
        <v>186</v>
      </c>
      <c r="F145" s="254"/>
      <c r="G145" s="255" t="s">
        <v>249</v>
      </c>
      <c r="H145" s="255"/>
      <c r="I145" s="250" t="s">
        <v>170</v>
      </c>
    </row>
    <row r="146" spans="1:10" ht="28.5" x14ac:dyDescent="0.2">
      <c r="A146" s="109"/>
      <c r="B146" s="260" t="s">
        <v>233</v>
      </c>
      <c r="C146" s="261">
        <v>1.35</v>
      </c>
      <c r="D146" s="261" t="s">
        <v>27</v>
      </c>
      <c r="E146" s="261">
        <v>1.1000000000000001</v>
      </c>
      <c r="F146" s="261" t="s">
        <v>27</v>
      </c>
      <c r="G146" s="261">
        <v>4</v>
      </c>
      <c r="H146" s="251" t="s">
        <v>28</v>
      </c>
      <c r="I146" s="261">
        <f>ROUND((C146*E146*G146),2)</f>
        <v>5.94</v>
      </c>
    </row>
    <row r="147" spans="1:10" ht="28.5" x14ac:dyDescent="0.2">
      <c r="A147" s="109"/>
      <c r="B147" s="364" t="s">
        <v>392</v>
      </c>
      <c r="C147" s="685"/>
      <c r="D147" s="686"/>
      <c r="E147" s="686"/>
      <c r="F147" s="686"/>
      <c r="G147" s="686"/>
      <c r="H147" s="261" t="s">
        <v>28</v>
      </c>
      <c r="I147" s="355">
        <f>ROUND(C76*E76,2)</f>
        <v>11.04</v>
      </c>
    </row>
    <row r="148" spans="1:10" ht="15" x14ac:dyDescent="0.25">
      <c r="A148" s="109"/>
      <c r="B148" s="692" t="s">
        <v>29</v>
      </c>
      <c r="C148" s="692"/>
      <c r="D148" s="692"/>
      <c r="E148" s="692"/>
      <c r="F148" s="692"/>
      <c r="G148" s="692"/>
      <c r="H148" s="255" t="s">
        <v>28</v>
      </c>
      <c r="I148" s="267">
        <f>ROUND(SUM(I146:I147),2)</f>
        <v>16.98</v>
      </c>
    </row>
    <row r="149" spans="1:10" x14ac:dyDescent="0.2">
      <c r="A149" s="109"/>
      <c r="B149" s="212"/>
    </row>
    <row r="150" spans="1:10" x14ac:dyDescent="0.2">
      <c r="B150" s="216" t="s">
        <v>26</v>
      </c>
      <c r="C150" s="217">
        <f>I148</f>
        <v>16.98</v>
      </c>
      <c r="D150" s="218" t="s">
        <v>0</v>
      </c>
    </row>
    <row r="152" spans="1:10" ht="26.45" customHeight="1" x14ac:dyDescent="0.2">
      <c r="A152" s="109" t="str">
        <f>ORÇAMENTO!A49</f>
        <v>6.3</v>
      </c>
      <c r="B152" s="689" t="str">
        <f>ORÇAMENTO!D49</f>
        <v>PINTURA COM TINTA ALQUÍDICA DE FUNDO (TIPO ZARCÃO) PULVERIZADA SOBRE SUPERFÍCIES METÁLICAS (EXCETO PERFIL) EXECUTADO EM OBRA (POR DEMÃO). AF_01/2020_PE</v>
      </c>
      <c r="C152" s="689"/>
      <c r="D152" s="689"/>
      <c r="E152" s="689"/>
      <c r="F152" s="689"/>
      <c r="G152" s="689"/>
      <c r="H152" s="689"/>
      <c r="I152" s="689"/>
      <c r="J152" s="689"/>
    </row>
    <row r="153" spans="1:10" x14ac:dyDescent="0.2">
      <c r="B153" s="219"/>
      <c r="C153" s="219"/>
      <c r="D153" s="219"/>
      <c r="E153" s="219"/>
      <c r="F153" s="219"/>
      <c r="G153" s="219"/>
    </row>
    <row r="154" spans="1:10" ht="15" x14ac:dyDescent="0.25">
      <c r="B154" s="246"/>
      <c r="C154" s="247" t="s">
        <v>242</v>
      </c>
      <c r="D154" s="248"/>
      <c r="E154" s="247" t="s">
        <v>186</v>
      </c>
      <c r="F154" s="248"/>
      <c r="G154" s="247" t="s">
        <v>248</v>
      </c>
      <c r="H154" s="249"/>
      <c r="I154" s="250" t="s">
        <v>170</v>
      </c>
    </row>
    <row r="155" spans="1:10" ht="28.5" x14ac:dyDescent="0.2">
      <c r="B155" s="266" t="s">
        <v>245</v>
      </c>
      <c r="C155" s="250">
        <v>5.8</v>
      </c>
      <c r="D155" s="250" t="s">
        <v>27</v>
      </c>
      <c r="E155" s="250">
        <v>4.2</v>
      </c>
      <c r="F155" s="250" t="s">
        <v>27</v>
      </c>
      <c r="G155" s="250">
        <v>2</v>
      </c>
      <c r="H155" s="251" t="s">
        <v>28</v>
      </c>
      <c r="I155" s="250">
        <f>ROUND(C155*E155*G155,2)</f>
        <v>48.72</v>
      </c>
    </row>
    <row r="156" spans="1:10" ht="18" customHeight="1" x14ac:dyDescent="0.25">
      <c r="B156" s="702" t="s">
        <v>29</v>
      </c>
      <c r="C156" s="702"/>
      <c r="D156" s="702"/>
      <c r="E156" s="702"/>
      <c r="F156" s="702"/>
      <c r="G156" s="702"/>
      <c r="H156" s="251" t="s">
        <v>28</v>
      </c>
      <c r="I156" s="250">
        <f>ROUND(SUM(I155:I155),2)</f>
        <v>48.72</v>
      </c>
    </row>
    <row r="157" spans="1:10" x14ac:dyDescent="0.2">
      <c r="B157" s="219"/>
      <c r="C157" s="219"/>
      <c r="D157" s="219"/>
      <c r="E157" s="219"/>
      <c r="F157" s="219"/>
      <c r="G157" s="219"/>
    </row>
    <row r="158" spans="1:10" x14ac:dyDescent="0.2">
      <c r="B158" s="216" t="s">
        <v>26</v>
      </c>
      <c r="C158" s="217">
        <f>I156</f>
        <v>48.72</v>
      </c>
      <c r="D158" s="218" t="s">
        <v>0</v>
      </c>
      <c r="E158" s="219"/>
      <c r="F158" s="219"/>
      <c r="G158" s="219"/>
    </row>
    <row r="159" spans="1:10" x14ac:dyDescent="0.2">
      <c r="B159" s="219"/>
      <c r="C159" s="219"/>
      <c r="D159" s="219"/>
      <c r="E159" s="219"/>
      <c r="F159" s="219"/>
      <c r="G159" s="219"/>
    </row>
    <row r="160" spans="1:10" ht="31.15" customHeight="1" x14ac:dyDescent="0.2">
      <c r="A160" s="109" t="str">
        <f>ORÇAMENTO!A50</f>
        <v>6.4</v>
      </c>
      <c r="B160" s="689" t="str">
        <f>ORÇAMENTO!D50</f>
        <v>PINTURA COM TINTA ALQUÍDICA DE ACABAMENTO (ESMALTE SINTÉTICO ACETINADO) PULVERIZADA SOBRE SUPERFÍCIES METÁLICAS (EXCETO PERFIL) EXECUTADO EM OBRA (02 DEMÃOS). AF_01/2020_PE</v>
      </c>
      <c r="C160" s="689"/>
      <c r="D160" s="689"/>
      <c r="E160" s="689"/>
      <c r="F160" s="689"/>
      <c r="G160" s="689"/>
      <c r="H160" s="689"/>
      <c r="I160" s="689"/>
      <c r="J160" s="689"/>
    </row>
    <row r="161" spans="1:9" x14ac:dyDescent="0.2">
      <c r="B161" s="219"/>
      <c r="C161" s="219"/>
      <c r="D161" s="219"/>
      <c r="E161" s="219"/>
      <c r="F161" s="219"/>
      <c r="G161" s="219"/>
    </row>
    <row r="162" spans="1:9" x14ac:dyDescent="0.2">
      <c r="B162" s="216" t="s">
        <v>26</v>
      </c>
      <c r="C162" s="217">
        <f>C158</f>
        <v>48.72</v>
      </c>
      <c r="D162" s="218" t="s">
        <v>0</v>
      </c>
      <c r="E162" s="219"/>
      <c r="F162" s="219"/>
      <c r="G162" s="219"/>
    </row>
    <row r="163" spans="1:9" x14ac:dyDescent="0.2">
      <c r="B163" s="219"/>
      <c r="C163" s="219"/>
      <c r="D163" s="219"/>
      <c r="E163" s="219"/>
      <c r="F163" s="219"/>
      <c r="G163" s="219"/>
    </row>
    <row r="164" spans="1:9" s="361" customFormat="1" x14ac:dyDescent="0.2">
      <c r="A164" s="365">
        <f>ORÇAMENTO!A52</f>
        <v>7</v>
      </c>
      <c r="B164" s="709" t="str">
        <f>ORÇAMENTO!D52</f>
        <v>PAISAGISMO</v>
      </c>
      <c r="C164" s="709"/>
      <c r="D164" s="709"/>
      <c r="E164" s="709"/>
      <c r="F164" s="709"/>
      <c r="G164" s="709"/>
      <c r="H164" s="709"/>
      <c r="I164" s="709"/>
    </row>
    <row r="165" spans="1:9" s="361" customFormat="1" ht="13.9" customHeight="1" x14ac:dyDescent="0.2">
      <c r="A165" s="366" t="str">
        <f>ORÇAMENTO!A53</f>
        <v>7.1</v>
      </c>
      <c r="B165" s="709" t="str">
        <f>ORÇAMENTO!D53</f>
        <v>PLANTIO DE MUDA DE DIANELA - FORNECIMENTO E INSTALAÇÃO</v>
      </c>
      <c r="C165" s="709"/>
      <c r="D165" s="709"/>
      <c r="E165" s="709"/>
      <c r="F165" s="709"/>
      <c r="G165" s="709"/>
      <c r="H165" s="709"/>
    </row>
    <row r="166" spans="1:9" s="361" customFormat="1" ht="11.45" customHeight="1" x14ac:dyDescent="0.2">
      <c r="A166" s="365"/>
      <c r="B166" s="367"/>
      <c r="C166" s="367"/>
      <c r="D166" s="367"/>
      <c r="E166" s="367"/>
      <c r="F166" s="367"/>
      <c r="G166" s="367"/>
      <c r="H166" s="367"/>
    </row>
    <row r="167" spans="1:9" s="361" customFormat="1" ht="15" x14ac:dyDescent="0.25">
      <c r="A167" s="359"/>
      <c r="B167" s="368"/>
      <c r="C167" s="369" t="s">
        <v>242</v>
      </c>
      <c r="D167" s="370"/>
      <c r="E167" s="369" t="s">
        <v>308</v>
      </c>
      <c r="F167" s="370"/>
      <c r="G167" s="369" t="s">
        <v>7</v>
      </c>
      <c r="H167" s="371"/>
      <c r="I167" s="372" t="s">
        <v>170</v>
      </c>
    </row>
    <row r="168" spans="1:9" s="361" customFormat="1" ht="14.25" x14ac:dyDescent="0.2">
      <c r="A168" s="359"/>
      <c r="B168" s="711" t="s">
        <v>309</v>
      </c>
      <c r="C168" s="369">
        <v>16</v>
      </c>
      <c r="D168" s="369" t="s">
        <v>27</v>
      </c>
      <c r="E168" s="369">
        <v>0.5</v>
      </c>
      <c r="F168" s="369" t="s">
        <v>27</v>
      </c>
      <c r="G168" s="369">
        <v>1</v>
      </c>
      <c r="H168" s="373" t="s">
        <v>28</v>
      </c>
      <c r="I168" s="372">
        <f t="shared" ref="I168" si="0">ROUND(C168*E168*G168,2)</f>
        <v>8</v>
      </c>
    </row>
    <row r="169" spans="1:9" s="361" customFormat="1" ht="14.25" x14ac:dyDescent="0.2">
      <c r="A169" s="359"/>
      <c r="B169" s="711"/>
      <c r="C169" s="369">
        <v>16</v>
      </c>
      <c r="D169" s="369" t="s">
        <v>27</v>
      </c>
      <c r="E169" s="369">
        <v>0.5</v>
      </c>
      <c r="F169" s="369" t="s">
        <v>27</v>
      </c>
      <c r="G169" s="369">
        <v>1</v>
      </c>
      <c r="H169" s="373" t="s">
        <v>28</v>
      </c>
      <c r="I169" s="372">
        <f t="shared" ref="I169" si="1">ROUND(C169*E169*G169,2)</f>
        <v>8</v>
      </c>
    </row>
    <row r="170" spans="1:9" s="361" customFormat="1" ht="14.25" x14ac:dyDescent="0.2">
      <c r="A170" s="359"/>
      <c r="B170" s="711"/>
      <c r="C170" s="369">
        <v>14</v>
      </c>
      <c r="D170" s="369" t="s">
        <v>27</v>
      </c>
      <c r="E170" s="369">
        <v>0.5</v>
      </c>
      <c r="F170" s="369" t="s">
        <v>27</v>
      </c>
      <c r="G170" s="369">
        <v>1</v>
      </c>
      <c r="H170" s="373" t="s">
        <v>28</v>
      </c>
      <c r="I170" s="372">
        <f t="shared" ref="I170:I171" si="2">ROUND(C170*E170*G170,2)</f>
        <v>7</v>
      </c>
    </row>
    <row r="171" spans="1:9" s="361" customFormat="1" ht="14.25" x14ac:dyDescent="0.2">
      <c r="A171" s="359"/>
      <c r="B171" s="711"/>
      <c r="C171" s="369">
        <v>3.6</v>
      </c>
      <c r="D171" s="369" t="s">
        <v>27</v>
      </c>
      <c r="E171" s="369">
        <v>0.5</v>
      </c>
      <c r="F171" s="369" t="s">
        <v>27</v>
      </c>
      <c r="G171" s="369">
        <v>1</v>
      </c>
      <c r="H171" s="373" t="s">
        <v>28</v>
      </c>
      <c r="I171" s="372">
        <f t="shared" si="2"/>
        <v>1.8</v>
      </c>
    </row>
    <row r="172" spans="1:9" s="361" customFormat="1" ht="15" x14ac:dyDescent="0.25">
      <c r="A172" s="359"/>
      <c r="B172" s="710" t="s">
        <v>29</v>
      </c>
      <c r="C172" s="710"/>
      <c r="D172" s="710"/>
      <c r="E172" s="710"/>
      <c r="F172" s="710"/>
      <c r="G172" s="710"/>
      <c r="H172" s="373" t="s">
        <v>28</v>
      </c>
      <c r="I172" s="374">
        <f>ROUND(SUM(I168:I171),2)</f>
        <v>24.8</v>
      </c>
    </row>
    <row r="173" spans="1:9" ht="9" customHeight="1" x14ac:dyDescent="0.2">
      <c r="B173" s="219"/>
      <c r="C173" s="219"/>
      <c r="D173" s="219"/>
      <c r="E173" s="219"/>
      <c r="F173" s="219"/>
      <c r="G173" s="219"/>
    </row>
    <row r="174" spans="1:9" ht="57.75" x14ac:dyDescent="0.25">
      <c r="B174" s="250" t="s">
        <v>170</v>
      </c>
      <c r="C174" s="248"/>
      <c r="D174" s="266" t="s">
        <v>310</v>
      </c>
      <c r="E174" s="249"/>
      <c r="F174" s="279" t="s">
        <v>311</v>
      </c>
      <c r="G174" s="219"/>
    </row>
    <row r="175" spans="1:9" ht="14.25" x14ac:dyDescent="0.2">
      <c r="B175" s="247">
        <f>I172</f>
        <v>24.8</v>
      </c>
      <c r="C175" s="247" t="s">
        <v>27</v>
      </c>
      <c r="D175" s="247">
        <v>20</v>
      </c>
      <c r="E175" s="251" t="s">
        <v>28</v>
      </c>
      <c r="F175" s="250">
        <f>ROUND(B175*D175,2)</f>
        <v>496</v>
      </c>
      <c r="G175" s="219"/>
    </row>
    <row r="176" spans="1:9" ht="10.9" customHeight="1" x14ac:dyDescent="0.2">
      <c r="B176" s="219"/>
      <c r="C176" s="219"/>
      <c r="D176" s="219"/>
      <c r="E176" s="219"/>
      <c r="F176" s="219"/>
      <c r="G176" s="219"/>
    </row>
    <row r="177" spans="1:7" x14ac:dyDescent="0.2">
      <c r="B177" s="216" t="s">
        <v>26</v>
      </c>
      <c r="C177" s="217">
        <f>F175</f>
        <v>496</v>
      </c>
      <c r="D177" s="218" t="s">
        <v>33</v>
      </c>
      <c r="E177" s="219"/>
      <c r="F177" s="219"/>
      <c r="G177" s="219"/>
    </row>
    <row r="178" spans="1:7" x14ac:dyDescent="0.2">
      <c r="B178" s="219"/>
      <c r="C178" s="219"/>
      <c r="D178" s="219"/>
      <c r="E178" s="219"/>
      <c r="F178" s="219"/>
      <c r="G178" s="219"/>
    </row>
    <row r="179" spans="1:7" x14ac:dyDescent="0.2">
      <c r="A179" s="109" t="str">
        <f>ORÇAMENTO!A54</f>
        <v>7.2</v>
      </c>
      <c r="B179" s="691" t="str">
        <f>ORÇAMENTO!D54</f>
        <v>LIMITADOR DE GRAMA - FORNECIMENTO E INSTALAÇÃO</v>
      </c>
      <c r="C179" s="691"/>
      <c r="D179" s="691"/>
      <c r="E179" s="691"/>
      <c r="F179" s="691"/>
      <c r="G179" s="691"/>
    </row>
    <row r="180" spans="1:7" x14ac:dyDescent="0.2">
      <c r="B180" s="219"/>
      <c r="C180" s="219"/>
      <c r="D180" s="219"/>
      <c r="E180" s="219"/>
      <c r="F180" s="219"/>
      <c r="G180" s="219"/>
    </row>
    <row r="181" spans="1:7" x14ac:dyDescent="0.2">
      <c r="B181" s="216" t="s">
        <v>26</v>
      </c>
      <c r="C181" s="217">
        <f>SUM(C168:C171)</f>
        <v>49.6</v>
      </c>
      <c r="D181" s="218" t="s">
        <v>287</v>
      </c>
      <c r="E181" s="219"/>
      <c r="F181" s="219"/>
      <c r="G181" s="219"/>
    </row>
    <row r="182" spans="1:7" x14ac:dyDescent="0.2">
      <c r="B182" s="219"/>
      <c r="C182" s="219"/>
      <c r="D182" s="219"/>
      <c r="E182" s="219"/>
      <c r="F182" s="219"/>
      <c r="G182" s="219"/>
    </row>
    <row r="183" spans="1:7" x14ac:dyDescent="0.2">
      <c r="A183" s="109">
        <f>ORÇAMENTO!A56</f>
        <v>8</v>
      </c>
      <c r="B183" s="212" t="str">
        <f>ORÇAMENTO!D56</f>
        <v>SERVIÇOS FINAIS</v>
      </c>
    </row>
    <row r="184" spans="1:7" x14ac:dyDescent="0.2">
      <c r="A184" s="109" t="str">
        <f>ORÇAMENTO!A57</f>
        <v>8.1</v>
      </c>
      <c r="B184" s="212" t="str">
        <f>ORÇAMENTO!D57</f>
        <v>Limpeza geral e entrega da obra</v>
      </c>
    </row>
    <row r="186" spans="1:7" ht="15" x14ac:dyDescent="0.25">
      <c r="B186" s="246"/>
      <c r="C186" s="247" t="s">
        <v>143</v>
      </c>
      <c r="D186" s="248"/>
      <c r="E186" s="247" t="s">
        <v>186</v>
      </c>
      <c r="F186" s="249"/>
      <c r="G186" s="250" t="s">
        <v>170</v>
      </c>
    </row>
    <row r="187" spans="1:7" ht="14.25" x14ac:dyDescent="0.2">
      <c r="B187" s="247" t="s">
        <v>187</v>
      </c>
      <c r="C187" s="247">
        <v>16</v>
      </c>
      <c r="D187" s="247" t="s">
        <v>27</v>
      </c>
      <c r="E187" s="247">
        <v>14</v>
      </c>
      <c r="F187" s="251" t="s">
        <v>28</v>
      </c>
      <c r="G187" s="250">
        <f>ROUND(C187*E187,2)</f>
        <v>224</v>
      </c>
    </row>
    <row r="188" spans="1:7" x14ac:dyDescent="0.2">
      <c r="B188" s="219"/>
      <c r="C188" s="219"/>
      <c r="D188" s="219"/>
      <c r="E188" s="219"/>
      <c r="F188" s="219"/>
      <c r="G188" s="236"/>
    </row>
    <row r="189" spans="1:7" x14ac:dyDescent="0.2">
      <c r="B189" s="216" t="s">
        <v>26</v>
      </c>
      <c r="C189" s="217">
        <f>G187</f>
        <v>224</v>
      </c>
      <c r="D189" s="218" t="s">
        <v>0</v>
      </c>
      <c r="E189" s="219"/>
      <c r="F189" s="219"/>
      <c r="G189" s="219"/>
    </row>
  </sheetData>
  <mergeCells count="42">
    <mergeCell ref="B179:G179"/>
    <mergeCell ref="B165:H165"/>
    <mergeCell ref="B172:G172"/>
    <mergeCell ref="B164:I164"/>
    <mergeCell ref="B168:B171"/>
    <mergeCell ref="B156:G156"/>
    <mergeCell ref="B160:J160"/>
    <mergeCell ref="A11:I11"/>
    <mergeCell ref="A1:I1"/>
    <mergeCell ref="A10:I10"/>
    <mergeCell ref="A3:B3"/>
    <mergeCell ref="A4:B4"/>
    <mergeCell ref="A5:B5"/>
    <mergeCell ref="A9:I9"/>
    <mergeCell ref="A2:B2"/>
    <mergeCell ref="A6:B7"/>
    <mergeCell ref="G3:G4"/>
    <mergeCell ref="C2:F2"/>
    <mergeCell ref="C3:F3"/>
    <mergeCell ref="C4:F4"/>
    <mergeCell ref="C5:F5"/>
    <mergeCell ref="C6:F7"/>
    <mergeCell ref="H2:J2"/>
    <mergeCell ref="H3:J3"/>
    <mergeCell ref="H4:J4"/>
    <mergeCell ref="H5:J5"/>
    <mergeCell ref="H7:J7"/>
    <mergeCell ref="H6:J6"/>
    <mergeCell ref="B152:J152"/>
    <mergeCell ref="B93:J93"/>
    <mergeCell ref="B80:J80"/>
    <mergeCell ref="B81:J81"/>
    <mergeCell ref="B148:G148"/>
    <mergeCell ref="B125:J125"/>
    <mergeCell ref="B129:I129"/>
    <mergeCell ref="B108:J108"/>
    <mergeCell ref="C147:G147"/>
    <mergeCell ref="B39:J39"/>
    <mergeCell ref="C41:G41"/>
    <mergeCell ref="B56:J56"/>
    <mergeCell ref="B57:J57"/>
    <mergeCell ref="B73:J7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BDI-SERVIÇOS</vt:lpstr>
      <vt:lpstr>BDI - EQP</vt:lpstr>
      <vt:lpstr>ENC.SOC.</vt:lpstr>
      <vt:lpstr>CFF</vt:lpstr>
      <vt:lpstr>COMPOSIÇÕES</vt:lpstr>
      <vt:lpstr>ORÇAMENTO</vt:lpstr>
      <vt:lpstr>MEMÓRIA DE CÁLCULO</vt:lpstr>
      <vt:lpstr>'BDI - EQP'!Area_de_impressao</vt:lpstr>
      <vt:lpstr>'BDI-SERVIÇOS'!Area_de_impressao</vt:lpstr>
      <vt:lpstr>CFF!Area_de_impressao</vt:lpstr>
      <vt:lpstr>COMPOSIÇÕES!Area_de_impressao</vt:lpstr>
      <vt:lpstr>ENC.SOC.!Area_de_impressao</vt:lpstr>
      <vt:lpstr>'MEMÓRIA DE CÁLCULO'!Area_de_impressao</vt:lpstr>
      <vt:lpstr>ORÇAMENTO!Area_de_impressao</vt:lpstr>
      <vt:lpstr>'BDI-SERVIÇOS'!Titulos_de_impressao</vt:lpstr>
      <vt:lpstr>ORÇAMENTO!Titulos_de_impressao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SAAE2_JESSICA SANTOS</cp:lastModifiedBy>
  <cp:lastPrinted>2024-06-21T14:29:31Z</cp:lastPrinted>
  <dcterms:created xsi:type="dcterms:W3CDTF">2009-07-02T17:29:30Z</dcterms:created>
  <dcterms:modified xsi:type="dcterms:W3CDTF">2024-09-21T12:08:47Z</dcterms:modified>
</cp:coreProperties>
</file>